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 Información\Documents\Lula Original\PUBLICACIÓN TRANSPARENCIA PAGINA INTERNET 2019\"/>
    </mc:Choice>
  </mc:AlternateContent>
  <bookViews>
    <workbookView xWindow="0" yWindow="0" windowWidth="20490" windowHeight="7755" tabRatio="932" activeTab="5"/>
  </bookViews>
  <sheets>
    <sheet name="RESUMEN" sheetId="1" r:id="rId1"/>
    <sheet name="PDM" sheetId="3" r:id="rId2"/>
    <sheet name="FORTAMUNDF" sheetId="5" r:id="rId3"/>
    <sheet name="FISMDF" sheetId="6" r:id="rId4"/>
    <sheet name="FORTASEG" sheetId="7" r:id="rId5"/>
    <sheet name="FOREMOBA" sheetId="8" r:id="rId6"/>
  </sheets>
  <externalReferences>
    <externalReference r:id="rId7"/>
  </externalReferences>
  <definedNames>
    <definedName name="_xlnm._FilterDatabase" localSheetId="1" hidden="1">PDM!$A$10:$WUD$71</definedName>
    <definedName name="_xlnm.Print_Area" localSheetId="1">PDM!$A$2:$U$99</definedName>
    <definedName name="_xlnm.Print_Area" localSheetId="0">RESUMEN!$C$4:$X$34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1" l="1"/>
  <c r="I12" i="1" l="1"/>
  <c r="H12" i="1"/>
  <c r="G12" i="1"/>
  <c r="F12" i="1"/>
  <c r="N74" i="6" l="1"/>
  <c r="L74" i="6"/>
  <c r="J74" i="6"/>
  <c r="H74" i="6"/>
  <c r="I72" i="6"/>
  <c r="G72" i="6"/>
  <c r="I71" i="6"/>
  <c r="O71" i="6" s="1"/>
  <c r="G71" i="6"/>
  <c r="I70" i="6"/>
  <c r="O70" i="6" s="1"/>
  <c r="G70" i="6"/>
  <c r="I69" i="6"/>
  <c r="O69" i="6" s="1"/>
  <c r="G69" i="6"/>
  <c r="I68" i="6"/>
  <c r="O68" i="6" s="1"/>
  <c r="G68" i="6"/>
  <c r="I67" i="6"/>
  <c r="O67" i="6" s="1"/>
  <c r="G67" i="6"/>
  <c r="I66" i="6"/>
  <c r="G66" i="6"/>
  <c r="I65" i="6"/>
  <c r="G65" i="6"/>
  <c r="I64" i="6"/>
  <c r="G64" i="6"/>
  <c r="I63" i="6"/>
  <c r="G63" i="6"/>
  <c r="I62" i="6"/>
  <c r="G62" i="6"/>
  <c r="M62" i="6" s="1"/>
  <c r="I61" i="6"/>
  <c r="G61" i="6"/>
  <c r="I60" i="6"/>
  <c r="G60" i="6"/>
  <c r="I59" i="6"/>
  <c r="O59" i="6" s="1"/>
  <c r="G59" i="6"/>
  <c r="I58" i="6"/>
  <c r="O58" i="6" s="1"/>
  <c r="G58" i="6"/>
  <c r="I57" i="6"/>
  <c r="O57" i="6" s="1"/>
  <c r="G57" i="6"/>
  <c r="I56" i="6"/>
  <c r="O56" i="6" s="1"/>
  <c r="G56" i="6"/>
  <c r="I55" i="6"/>
  <c r="G55" i="6"/>
  <c r="I54" i="6"/>
  <c r="G54" i="6"/>
  <c r="I53" i="6"/>
  <c r="G53" i="6"/>
  <c r="I52" i="6"/>
  <c r="G52" i="6"/>
  <c r="I51" i="6"/>
  <c r="G51" i="6"/>
  <c r="I50" i="6"/>
  <c r="G50" i="6"/>
  <c r="I49" i="6"/>
  <c r="G49" i="6"/>
  <c r="I48" i="6"/>
  <c r="G48" i="6"/>
  <c r="I47" i="6"/>
  <c r="O47" i="6" s="1"/>
  <c r="G47" i="6"/>
  <c r="I46" i="6"/>
  <c r="O46" i="6" s="1"/>
  <c r="G46" i="6"/>
  <c r="I45" i="6"/>
  <c r="O45" i="6" s="1"/>
  <c r="G45" i="6"/>
  <c r="I44" i="6"/>
  <c r="O44" i="6" s="1"/>
  <c r="G44" i="6"/>
  <c r="I43" i="6"/>
  <c r="O43" i="6" s="1"/>
  <c r="G43" i="6"/>
  <c r="I42" i="6"/>
  <c r="O42" i="6" s="1"/>
  <c r="G42" i="6"/>
  <c r="I41" i="6"/>
  <c r="G41" i="6"/>
  <c r="I40" i="6"/>
  <c r="G40" i="6"/>
  <c r="I39" i="6"/>
  <c r="O39" i="6" s="1"/>
  <c r="G39" i="6"/>
  <c r="I38" i="6"/>
  <c r="G38" i="6"/>
  <c r="I37" i="6"/>
  <c r="G37" i="6"/>
  <c r="I36" i="6"/>
  <c r="G36" i="6"/>
  <c r="I35" i="6"/>
  <c r="O35" i="6" s="1"/>
  <c r="G35" i="6"/>
  <c r="I34" i="6"/>
  <c r="O34" i="6" s="1"/>
  <c r="G34" i="6"/>
  <c r="I33" i="6"/>
  <c r="O33" i="6" s="1"/>
  <c r="G33" i="6"/>
  <c r="I32" i="6"/>
  <c r="O32" i="6" s="1"/>
  <c r="G32" i="6"/>
  <c r="I31" i="6"/>
  <c r="G31" i="6"/>
  <c r="I30" i="6"/>
  <c r="O30" i="6" s="1"/>
  <c r="G30" i="6"/>
  <c r="I29" i="6"/>
  <c r="G29" i="6"/>
  <c r="I28" i="6"/>
  <c r="G28" i="6"/>
  <c r="I27" i="6"/>
  <c r="G27" i="6"/>
  <c r="I26" i="6"/>
  <c r="G26" i="6"/>
  <c r="I25" i="6"/>
  <c r="O25" i="6" s="1"/>
  <c r="G25" i="6"/>
  <c r="I24" i="6"/>
  <c r="G24" i="6"/>
  <c r="I23" i="6"/>
  <c r="O23" i="6" s="1"/>
  <c r="G23" i="6"/>
  <c r="I22" i="6"/>
  <c r="O22" i="6" s="1"/>
  <c r="G22" i="6"/>
  <c r="I21" i="6"/>
  <c r="O21" i="6" s="1"/>
  <c r="G21" i="6"/>
  <c r="I20" i="6"/>
  <c r="O20" i="6" s="1"/>
  <c r="G20" i="6"/>
  <c r="I19" i="6"/>
  <c r="G19" i="6"/>
  <c r="I18" i="6"/>
  <c r="G18" i="6"/>
  <c r="I17" i="6"/>
  <c r="G17" i="6"/>
  <c r="I16" i="6"/>
  <c r="G16" i="6"/>
  <c r="I15" i="6"/>
  <c r="G15" i="6"/>
  <c r="Q32" i="6" l="1"/>
  <c r="M50" i="6"/>
  <c r="Q56" i="6"/>
  <c r="Q68" i="6"/>
  <c r="M16" i="6"/>
  <c r="M58" i="6"/>
  <c r="M64" i="6"/>
  <c r="Q70" i="6"/>
  <c r="M17" i="6"/>
  <c r="M23" i="6"/>
  <c r="M41" i="6"/>
  <c r="M65" i="6"/>
  <c r="M15" i="6"/>
  <c r="M21" i="6"/>
  <c r="Q27" i="6"/>
  <c r="M33" i="6"/>
  <c r="M39" i="6"/>
  <c r="M31" i="6"/>
  <c r="M55" i="6"/>
  <c r="Q26" i="6"/>
  <c r="Q38" i="6"/>
  <c r="O55" i="6"/>
  <c r="M46" i="6"/>
  <c r="M52" i="6"/>
  <c r="Q24" i="6"/>
  <c r="M35" i="6"/>
  <c r="M67" i="6"/>
  <c r="M63" i="6"/>
  <c r="Q53" i="6"/>
  <c r="M43" i="6"/>
  <c r="M54" i="6"/>
  <c r="M59" i="6"/>
  <c r="Q45" i="6"/>
  <c r="O26" i="6"/>
  <c r="Q42" i="6"/>
  <c r="Q63" i="6"/>
  <c r="Q28" i="6"/>
  <c r="M18" i="6"/>
  <c r="M29" i="6"/>
  <c r="M34" i="6"/>
  <c r="Q49" i="6"/>
  <c r="M66" i="6"/>
  <c r="Q71" i="6"/>
  <c r="M19" i="6"/>
  <c r="M30" i="6"/>
  <c r="Q35" i="6"/>
  <c r="M40" i="6"/>
  <c r="M45" i="6"/>
  <c r="Q50" i="6"/>
  <c r="Q61" i="6"/>
  <c r="M51" i="6"/>
  <c r="I74" i="6"/>
  <c r="C9" i="6" s="1"/>
  <c r="Q23" i="6"/>
  <c r="Q16" i="6"/>
  <c r="M20" i="6"/>
  <c r="M28" i="6"/>
  <c r="Q39" i="6"/>
  <c r="Q44" i="6"/>
  <c r="M47" i="6"/>
  <c r="O51" i="6"/>
  <c r="O63" i="6"/>
  <c r="M71" i="6"/>
  <c r="M44" i="6"/>
  <c r="Q19" i="6"/>
  <c r="M32" i="6"/>
  <c r="Q51" i="6"/>
  <c r="Q36" i="6"/>
  <c r="Q59" i="6"/>
  <c r="Q29" i="6"/>
  <c r="Q48" i="6"/>
  <c r="Q52" i="6"/>
  <c r="M56" i="6"/>
  <c r="Q64" i="6"/>
  <c r="M68" i="6"/>
  <c r="Q47" i="6"/>
  <c r="Q17" i="6"/>
  <c r="Q18" i="6"/>
  <c r="Q21" i="6"/>
  <c r="M26" i="6"/>
  <c r="Q37" i="6"/>
  <c r="Q41" i="6"/>
  <c r="M53" i="6"/>
  <c r="Q60" i="6"/>
  <c r="Q72" i="6"/>
  <c r="Q31" i="6"/>
  <c r="Q40" i="6"/>
  <c r="O18" i="6"/>
  <c r="M22" i="6"/>
  <c r="Q30" i="6"/>
  <c r="Q33" i="6"/>
  <c r="M38" i="6"/>
  <c r="M42" i="6"/>
  <c r="M57" i="6"/>
  <c r="Q65" i="6"/>
  <c r="M69" i="6"/>
  <c r="Q54" i="6"/>
  <c r="Q57" i="6"/>
  <c r="Q66" i="6"/>
  <c r="Q69" i="6"/>
  <c r="Q34" i="6"/>
  <c r="O54" i="6"/>
  <c r="Q62" i="6"/>
  <c r="O66" i="6"/>
  <c r="Q22" i="6"/>
  <c r="O38" i="6"/>
  <c r="O50" i="6"/>
  <c r="O15" i="6"/>
  <c r="O19" i="6"/>
  <c r="M27" i="6"/>
  <c r="Q43" i="6"/>
  <c r="Q46" i="6"/>
  <c r="O62" i="6"/>
  <c r="Q15" i="6"/>
  <c r="Q20" i="6"/>
  <c r="O27" i="6"/>
  <c r="O31" i="6"/>
  <c r="Q55" i="6"/>
  <c r="Q58" i="6"/>
  <c r="Q67" i="6"/>
  <c r="Q25" i="6"/>
  <c r="O16" i="6"/>
  <c r="O28" i="6"/>
  <c r="O40" i="6"/>
  <c r="O52" i="6"/>
  <c r="O64" i="6"/>
  <c r="M24" i="6"/>
  <c r="M36" i="6"/>
  <c r="M48" i="6"/>
  <c r="M60" i="6"/>
  <c r="M72" i="6"/>
  <c r="O24" i="6"/>
  <c r="O36" i="6"/>
  <c r="O48" i="6"/>
  <c r="O60" i="6"/>
  <c r="O72" i="6"/>
  <c r="G74" i="6"/>
  <c r="C8" i="6" s="1"/>
  <c r="O29" i="6"/>
  <c r="O41" i="6"/>
  <c r="O53" i="6"/>
  <c r="O65" i="6"/>
  <c r="M70" i="6"/>
  <c r="O17" i="6"/>
  <c r="M37" i="6"/>
  <c r="M49" i="6"/>
  <c r="M61" i="6"/>
  <c r="M25" i="6"/>
  <c r="O37" i="6"/>
  <c r="O49" i="6"/>
  <c r="O61" i="6"/>
  <c r="D12" i="1"/>
  <c r="H97" i="3"/>
  <c r="J95" i="3"/>
  <c r="I95" i="3" s="1"/>
  <c r="N95" i="3" s="1"/>
  <c r="G95" i="3"/>
  <c r="J94" i="3"/>
  <c r="L94" i="3" s="1"/>
  <c r="K94" i="3" s="1"/>
  <c r="I94" i="3"/>
  <c r="G94" i="3"/>
  <c r="J93" i="3"/>
  <c r="I93" i="3" s="1"/>
  <c r="G93" i="3"/>
  <c r="J92" i="3"/>
  <c r="L92" i="3" s="1"/>
  <c r="K92" i="3" s="1"/>
  <c r="I92" i="3"/>
  <c r="N92" i="3" s="1"/>
  <c r="G92" i="3"/>
  <c r="J91" i="3"/>
  <c r="I91" i="3" s="1"/>
  <c r="G91" i="3"/>
  <c r="L90" i="3"/>
  <c r="K90" i="3" s="1"/>
  <c r="I90" i="3"/>
  <c r="G90" i="3"/>
  <c r="J89" i="3"/>
  <c r="L89" i="3" s="1"/>
  <c r="K89" i="3" s="1"/>
  <c r="G89" i="3"/>
  <c r="J88" i="3"/>
  <c r="L88" i="3" s="1"/>
  <c r="K88" i="3" s="1"/>
  <c r="G88" i="3"/>
  <c r="J87" i="3"/>
  <c r="L87" i="3" s="1"/>
  <c r="K87" i="3" s="1"/>
  <c r="G87" i="3"/>
  <c r="J86" i="3"/>
  <c r="L86" i="3" s="1"/>
  <c r="K86" i="3" s="1"/>
  <c r="I86" i="3"/>
  <c r="G86" i="3"/>
  <c r="J85" i="3"/>
  <c r="L85" i="3" s="1"/>
  <c r="K85" i="3" s="1"/>
  <c r="G85" i="3"/>
  <c r="J84" i="3"/>
  <c r="L84" i="3" s="1"/>
  <c r="K84" i="3" s="1"/>
  <c r="I84" i="3"/>
  <c r="N84" i="3" s="1"/>
  <c r="G84" i="3"/>
  <c r="J83" i="3"/>
  <c r="L83" i="3" s="1"/>
  <c r="K83" i="3" s="1"/>
  <c r="G83" i="3"/>
  <c r="J82" i="3"/>
  <c r="L82" i="3" s="1"/>
  <c r="K82" i="3" s="1"/>
  <c r="G82" i="3"/>
  <c r="L81" i="3"/>
  <c r="K81" i="3" s="1"/>
  <c r="I81" i="3"/>
  <c r="G81" i="3"/>
  <c r="N81" i="3" s="1"/>
  <c r="J80" i="3"/>
  <c r="L80" i="3" s="1"/>
  <c r="K80" i="3" s="1"/>
  <c r="G80" i="3"/>
  <c r="J79" i="3"/>
  <c r="I79" i="3" s="1"/>
  <c r="N79" i="3" s="1"/>
  <c r="G79" i="3"/>
  <c r="J78" i="3"/>
  <c r="L78" i="3" s="1"/>
  <c r="K78" i="3" s="1"/>
  <c r="G78" i="3"/>
  <c r="L77" i="3"/>
  <c r="K77" i="3" s="1"/>
  <c r="J77" i="3"/>
  <c r="I77" i="3" s="1"/>
  <c r="N77" i="3" s="1"/>
  <c r="G77" i="3"/>
  <c r="J76" i="3"/>
  <c r="L76" i="3" s="1"/>
  <c r="K76" i="3" s="1"/>
  <c r="G76" i="3"/>
  <c r="L75" i="3"/>
  <c r="K75" i="3" s="1"/>
  <c r="I75" i="3"/>
  <c r="N75" i="3" s="1"/>
  <c r="G75" i="3"/>
  <c r="L74" i="3"/>
  <c r="K74" i="3" s="1"/>
  <c r="I74" i="3"/>
  <c r="G74" i="3"/>
  <c r="L73" i="3"/>
  <c r="K73" i="3" s="1"/>
  <c r="I73" i="3"/>
  <c r="G73" i="3"/>
  <c r="J72" i="3"/>
  <c r="I72" i="3" s="1"/>
  <c r="N72" i="3" s="1"/>
  <c r="G72" i="3"/>
  <c r="J71" i="3"/>
  <c r="L71" i="3" s="1"/>
  <c r="K71" i="3" s="1"/>
  <c r="I71" i="3"/>
  <c r="N71" i="3" s="1"/>
  <c r="G71" i="3"/>
  <c r="J70" i="3"/>
  <c r="L70" i="3" s="1"/>
  <c r="K70" i="3" s="1"/>
  <c r="I70" i="3"/>
  <c r="G70" i="3"/>
  <c r="J69" i="3"/>
  <c r="L69" i="3" s="1"/>
  <c r="K69" i="3" s="1"/>
  <c r="I69" i="3"/>
  <c r="G69" i="3"/>
  <c r="L68" i="3"/>
  <c r="K68" i="3" s="1"/>
  <c r="J68" i="3"/>
  <c r="I68" i="3" s="1"/>
  <c r="G68" i="3"/>
  <c r="J67" i="3"/>
  <c r="L67" i="3" s="1"/>
  <c r="K67" i="3" s="1"/>
  <c r="G67" i="3"/>
  <c r="J66" i="3"/>
  <c r="L66" i="3" s="1"/>
  <c r="K66" i="3" s="1"/>
  <c r="I66" i="3"/>
  <c r="N66" i="3" s="1"/>
  <c r="G66" i="3"/>
  <c r="J65" i="3"/>
  <c r="L65" i="3" s="1"/>
  <c r="K65" i="3" s="1"/>
  <c r="G65" i="3"/>
  <c r="J64" i="3"/>
  <c r="I64" i="3" s="1"/>
  <c r="N64" i="3" s="1"/>
  <c r="G64" i="3"/>
  <c r="J63" i="3"/>
  <c r="L63" i="3" s="1"/>
  <c r="K63" i="3" s="1"/>
  <c r="I63" i="3"/>
  <c r="G63" i="3"/>
  <c r="J62" i="3"/>
  <c r="L62" i="3" s="1"/>
  <c r="K62" i="3" s="1"/>
  <c r="I62" i="3"/>
  <c r="G62" i="3"/>
  <c r="J61" i="3"/>
  <c r="L61" i="3" s="1"/>
  <c r="K61" i="3" s="1"/>
  <c r="G61" i="3"/>
  <c r="J60" i="3"/>
  <c r="L60" i="3" s="1"/>
  <c r="K60" i="3" s="1"/>
  <c r="G60" i="3"/>
  <c r="L59" i="3"/>
  <c r="K59" i="3" s="1"/>
  <c r="I59" i="3"/>
  <c r="G59" i="3"/>
  <c r="J58" i="3"/>
  <c r="L58" i="3" s="1"/>
  <c r="K58" i="3" s="1"/>
  <c r="G58" i="3"/>
  <c r="L57" i="3"/>
  <c r="K57" i="3" s="1"/>
  <c r="I57" i="3"/>
  <c r="G57" i="3"/>
  <c r="J56" i="3"/>
  <c r="L56" i="3" s="1"/>
  <c r="K56" i="3" s="1"/>
  <c r="G56" i="3"/>
  <c r="J55" i="3"/>
  <c r="L55" i="3" s="1"/>
  <c r="K55" i="3" s="1"/>
  <c r="G55" i="3"/>
  <c r="J54" i="3"/>
  <c r="L54" i="3" s="1"/>
  <c r="K54" i="3" s="1"/>
  <c r="G54" i="3"/>
  <c r="J53" i="3"/>
  <c r="L53" i="3" s="1"/>
  <c r="K53" i="3" s="1"/>
  <c r="I53" i="3"/>
  <c r="G53" i="3"/>
  <c r="J52" i="3"/>
  <c r="L52" i="3" s="1"/>
  <c r="K52" i="3" s="1"/>
  <c r="G52" i="3"/>
  <c r="J51" i="3"/>
  <c r="L51" i="3" s="1"/>
  <c r="K51" i="3" s="1"/>
  <c r="I51" i="3"/>
  <c r="N51" i="3" s="1"/>
  <c r="G51" i="3"/>
  <c r="J50" i="3"/>
  <c r="L50" i="3" s="1"/>
  <c r="K50" i="3" s="1"/>
  <c r="G50" i="3"/>
  <c r="J49" i="3"/>
  <c r="L49" i="3" s="1"/>
  <c r="K49" i="3" s="1"/>
  <c r="G49" i="3"/>
  <c r="J48" i="3"/>
  <c r="L48" i="3" s="1"/>
  <c r="K48" i="3" s="1"/>
  <c r="G48" i="3"/>
  <c r="J47" i="3"/>
  <c r="L47" i="3" s="1"/>
  <c r="K47" i="3" s="1"/>
  <c r="G47" i="3"/>
  <c r="J46" i="3"/>
  <c r="L46" i="3" s="1"/>
  <c r="K46" i="3" s="1"/>
  <c r="G46" i="3"/>
  <c r="J45" i="3"/>
  <c r="L45" i="3" s="1"/>
  <c r="K45" i="3" s="1"/>
  <c r="G45" i="3"/>
  <c r="J44" i="3"/>
  <c r="L44" i="3" s="1"/>
  <c r="K44" i="3" s="1"/>
  <c r="G44" i="3"/>
  <c r="J43" i="3"/>
  <c r="L43" i="3" s="1"/>
  <c r="K43" i="3" s="1"/>
  <c r="G43" i="3"/>
  <c r="J42" i="3"/>
  <c r="L42" i="3" s="1"/>
  <c r="K42" i="3" s="1"/>
  <c r="G42" i="3"/>
  <c r="J41" i="3"/>
  <c r="L41" i="3" s="1"/>
  <c r="K41" i="3" s="1"/>
  <c r="G41" i="3"/>
  <c r="J40" i="3"/>
  <c r="L40" i="3" s="1"/>
  <c r="K40" i="3" s="1"/>
  <c r="G40" i="3"/>
  <c r="J39" i="3"/>
  <c r="L39" i="3" s="1"/>
  <c r="K39" i="3" s="1"/>
  <c r="G39" i="3"/>
  <c r="J38" i="3"/>
  <c r="L38" i="3" s="1"/>
  <c r="K38" i="3" s="1"/>
  <c r="G38" i="3"/>
  <c r="J37" i="3"/>
  <c r="L37" i="3" s="1"/>
  <c r="K37" i="3" s="1"/>
  <c r="G37" i="3"/>
  <c r="J36" i="3"/>
  <c r="L36" i="3" s="1"/>
  <c r="K36" i="3" s="1"/>
  <c r="G36" i="3"/>
  <c r="J35" i="3"/>
  <c r="L35" i="3" s="1"/>
  <c r="K35" i="3" s="1"/>
  <c r="G35" i="3"/>
  <c r="J34" i="3"/>
  <c r="L34" i="3" s="1"/>
  <c r="K34" i="3" s="1"/>
  <c r="G34" i="3"/>
  <c r="J33" i="3"/>
  <c r="L33" i="3" s="1"/>
  <c r="K33" i="3" s="1"/>
  <c r="I33" i="3"/>
  <c r="G33" i="3"/>
  <c r="J32" i="3"/>
  <c r="L32" i="3" s="1"/>
  <c r="K32" i="3" s="1"/>
  <c r="G32" i="3"/>
  <c r="J31" i="3"/>
  <c r="L31" i="3" s="1"/>
  <c r="K31" i="3" s="1"/>
  <c r="G31" i="3"/>
  <c r="J30" i="3"/>
  <c r="L30" i="3" s="1"/>
  <c r="K30" i="3" s="1"/>
  <c r="G30" i="3"/>
  <c r="J29" i="3"/>
  <c r="L29" i="3" s="1"/>
  <c r="K29" i="3" s="1"/>
  <c r="G29" i="3"/>
  <c r="J28" i="3"/>
  <c r="L28" i="3" s="1"/>
  <c r="K28" i="3" s="1"/>
  <c r="G28" i="3"/>
  <c r="J27" i="3"/>
  <c r="L27" i="3" s="1"/>
  <c r="K27" i="3" s="1"/>
  <c r="I27" i="3"/>
  <c r="G27" i="3"/>
  <c r="J26" i="3"/>
  <c r="L26" i="3" s="1"/>
  <c r="K26" i="3" s="1"/>
  <c r="G26" i="3"/>
  <c r="J25" i="3"/>
  <c r="L25" i="3" s="1"/>
  <c r="K25" i="3" s="1"/>
  <c r="G25" i="3"/>
  <c r="J24" i="3"/>
  <c r="L24" i="3" s="1"/>
  <c r="K24" i="3" s="1"/>
  <c r="G24" i="3"/>
  <c r="J23" i="3"/>
  <c r="L23" i="3" s="1"/>
  <c r="K23" i="3" s="1"/>
  <c r="G23" i="3"/>
  <c r="J22" i="3"/>
  <c r="L22" i="3" s="1"/>
  <c r="K22" i="3" s="1"/>
  <c r="G22" i="3"/>
  <c r="J21" i="3"/>
  <c r="L21" i="3" s="1"/>
  <c r="K21" i="3" s="1"/>
  <c r="I21" i="3"/>
  <c r="G21" i="3"/>
  <c r="J20" i="3"/>
  <c r="L20" i="3" s="1"/>
  <c r="K20" i="3" s="1"/>
  <c r="G20" i="3"/>
  <c r="J19" i="3"/>
  <c r="L19" i="3" s="1"/>
  <c r="K19" i="3" s="1"/>
  <c r="G19" i="3"/>
  <c r="J18" i="3"/>
  <c r="L18" i="3" s="1"/>
  <c r="K18" i="3" s="1"/>
  <c r="G18" i="3"/>
  <c r="J17" i="3"/>
  <c r="L17" i="3" s="1"/>
  <c r="K17" i="3" s="1"/>
  <c r="I17" i="3"/>
  <c r="G17" i="3"/>
  <c r="J16" i="3"/>
  <c r="L16" i="3" s="1"/>
  <c r="K16" i="3" s="1"/>
  <c r="G16" i="3"/>
  <c r="J15" i="3"/>
  <c r="L15" i="3" s="1"/>
  <c r="K15" i="3" s="1"/>
  <c r="G15" i="3"/>
  <c r="J14" i="3"/>
  <c r="L14" i="3" s="1"/>
  <c r="K14" i="3" s="1"/>
  <c r="G14" i="3"/>
  <c r="J13" i="3"/>
  <c r="L13" i="3" s="1"/>
  <c r="K13" i="3" s="1"/>
  <c r="G13" i="3"/>
  <c r="J12" i="3"/>
  <c r="L12" i="3" s="1"/>
  <c r="K12" i="3" s="1"/>
  <c r="G12" i="3"/>
  <c r="J11" i="3"/>
  <c r="L11" i="3" s="1"/>
  <c r="G11" i="3"/>
  <c r="N21" i="3" l="1"/>
  <c r="N63" i="3"/>
  <c r="N70" i="3"/>
  <c r="N73" i="3"/>
  <c r="N74" i="3"/>
  <c r="L79" i="3"/>
  <c r="K79" i="3" s="1"/>
  <c r="N94" i="3"/>
  <c r="G97" i="3"/>
  <c r="C6" i="3" s="1"/>
  <c r="I23" i="3"/>
  <c r="I35" i="3"/>
  <c r="N57" i="3"/>
  <c r="I58" i="3"/>
  <c r="N58" i="3" s="1"/>
  <c r="N62" i="3"/>
  <c r="N90" i="3"/>
  <c r="N91" i="3"/>
  <c r="N33" i="3"/>
  <c r="N53" i="3"/>
  <c r="I13" i="3"/>
  <c r="I25" i="3"/>
  <c r="N25" i="3" s="1"/>
  <c r="I43" i="3"/>
  <c r="N43" i="3" s="1"/>
  <c r="I61" i="3"/>
  <c r="N61" i="3" s="1"/>
  <c r="N93" i="3"/>
  <c r="N17" i="3"/>
  <c r="I41" i="3"/>
  <c r="N41" i="3" s="1"/>
  <c r="I49" i="3"/>
  <c r="N49" i="3" s="1"/>
  <c r="I11" i="3"/>
  <c r="N11" i="3" s="1"/>
  <c r="I19" i="3"/>
  <c r="N19" i="3" s="1"/>
  <c r="N27" i="3"/>
  <c r="N35" i="3"/>
  <c r="N59" i="3"/>
  <c r="I60" i="3"/>
  <c r="N60" i="3" s="1"/>
  <c r="L64" i="3"/>
  <c r="K64" i="3" s="1"/>
  <c r="N68" i="3"/>
  <c r="N69" i="3"/>
  <c r="L72" i="3"/>
  <c r="K72" i="3" s="1"/>
  <c r="N86" i="3"/>
  <c r="J97" i="3"/>
  <c r="N13" i="3"/>
  <c r="I29" i="3"/>
  <c r="N29" i="3" s="1"/>
  <c r="I37" i="3"/>
  <c r="N37" i="3" s="1"/>
  <c r="I45" i="3"/>
  <c r="N45" i="3" s="1"/>
  <c r="I67" i="3"/>
  <c r="N67" i="3" s="1"/>
  <c r="I88" i="3"/>
  <c r="N88" i="3" s="1"/>
  <c r="L91" i="3"/>
  <c r="K91" i="3" s="1"/>
  <c r="L93" i="3"/>
  <c r="K93" i="3" s="1"/>
  <c r="L95" i="3"/>
  <c r="K95" i="3" s="1"/>
  <c r="I15" i="3"/>
  <c r="N15" i="3" s="1"/>
  <c r="N23" i="3"/>
  <c r="I31" i="3"/>
  <c r="N31" i="3" s="1"/>
  <c r="I39" i="3"/>
  <c r="N39" i="3" s="1"/>
  <c r="I47" i="3"/>
  <c r="N47" i="3" s="1"/>
  <c r="I55" i="3"/>
  <c r="N55" i="3" s="1"/>
  <c r="I65" i="3"/>
  <c r="N65" i="3" s="1"/>
  <c r="I76" i="3"/>
  <c r="N76" i="3" s="1"/>
  <c r="I78" i="3"/>
  <c r="N78" i="3" s="1"/>
  <c r="I80" i="3"/>
  <c r="N80" i="3" s="1"/>
  <c r="I82" i="3"/>
  <c r="N82" i="3" s="1"/>
  <c r="M74" i="6"/>
  <c r="O74" i="6"/>
  <c r="K11" i="3"/>
  <c r="I12" i="3"/>
  <c r="I14" i="3"/>
  <c r="N14" i="3" s="1"/>
  <c r="I16" i="3"/>
  <c r="N16" i="3" s="1"/>
  <c r="I18" i="3"/>
  <c r="N18" i="3" s="1"/>
  <c r="I20" i="3"/>
  <c r="N20" i="3" s="1"/>
  <c r="I22" i="3"/>
  <c r="N22" i="3" s="1"/>
  <c r="I24" i="3"/>
  <c r="N24" i="3" s="1"/>
  <c r="I26" i="3"/>
  <c r="N26" i="3" s="1"/>
  <c r="I28" i="3"/>
  <c r="N28" i="3" s="1"/>
  <c r="I30" i="3"/>
  <c r="N30" i="3" s="1"/>
  <c r="I32" i="3"/>
  <c r="N32" i="3" s="1"/>
  <c r="I34" i="3"/>
  <c r="N34" i="3" s="1"/>
  <c r="I36" i="3"/>
  <c r="N36" i="3" s="1"/>
  <c r="I38" i="3"/>
  <c r="N38" i="3" s="1"/>
  <c r="I40" i="3"/>
  <c r="N40" i="3" s="1"/>
  <c r="I42" i="3"/>
  <c r="N42" i="3" s="1"/>
  <c r="I44" i="3"/>
  <c r="N44" i="3" s="1"/>
  <c r="I46" i="3"/>
  <c r="N46" i="3" s="1"/>
  <c r="I48" i="3"/>
  <c r="N48" i="3" s="1"/>
  <c r="I50" i="3"/>
  <c r="N50" i="3" s="1"/>
  <c r="I52" i="3"/>
  <c r="N52" i="3" s="1"/>
  <c r="I54" i="3"/>
  <c r="N54" i="3" s="1"/>
  <c r="I56" i="3"/>
  <c r="N56" i="3" s="1"/>
  <c r="I83" i="3"/>
  <c r="N83" i="3" s="1"/>
  <c r="I85" i="3"/>
  <c r="N85" i="3" s="1"/>
  <c r="I87" i="3"/>
  <c r="N87" i="3" s="1"/>
  <c r="I89" i="3"/>
  <c r="N89" i="3" s="1"/>
  <c r="K97" i="3" l="1"/>
  <c r="L97" i="3"/>
  <c r="I97" i="3"/>
  <c r="C7" i="3" s="1"/>
  <c r="N12" i="3"/>
  <c r="U14" i="1" l="1"/>
  <c r="G14" i="8" l="1"/>
  <c r="C8" i="3" l="1"/>
  <c r="L16" i="8" l="1"/>
  <c r="J16" i="8"/>
  <c r="H16" i="8"/>
  <c r="I14" i="8"/>
  <c r="I16" i="8" l="1"/>
  <c r="C8" i="8" s="1"/>
  <c r="C9" i="8" s="1"/>
  <c r="K14" i="8"/>
  <c r="K16" i="8" s="1"/>
  <c r="N14" i="8"/>
  <c r="G16" i="8"/>
  <c r="W14" i="1" l="1"/>
  <c r="G14" i="7" l="1"/>
  <c r="V14" i="1"/>
  <c r="V28" i="1" s="1"/>
  <c r="X14" i="1" l="1"/>
  <c r="P23" i="5"/>
  <c r="C10" i="5" s="1"/>
  <c r="Z17" i="7"/>
  <c r="I20" i="7"/>
  <c r="J20" i="7"/>
  <c r="U20" i="7"/>
  <c r="T20" i="7"/>
  <c r="S20" i="7"/>
  <c r="P20" i="7"/>
  <c r="O20" i="7"/>
  <c r="N20" i="7"/>
  <c r="M20" i="7"/>
  <c r="U26" i="1" s="1"/>
  <c r="X26" i="1" s="1"/>
  <c r="K20" i="7"/>
  <c r="H20" i="7"/>
  <c r="R19" i="7"/>
  <c r="Q19" i="7" s="1"/>
  <c r="G19" i="7"/>
  <c r="R18" i="7"/>
  <c r="L18" i="7"/>
  <c r="G18" i="7"/>
  <c r="R17" i="7"/>
  <c r="L17" i="7"/>
  <c r="G17" i="7"/>
  <c r="Z16" i="7"/>
  <c r="R16" i="7"/>
  <c r="L16" i="7"/>
  <c r="G16" i="7"/>
  <c r="R15" i="7"/>
  <c r="G15" i="7"/>
  <c r="Q15" i="7" s="1"/>
  <c r="R14" i="7"/>
  <c r="L14" i="7"/>
  <c r="W19" i="7" l="1"/>
  <c r="X19" i="7" s="1"/>
  <c r="R20" i="7"/>
  <c r="L20" i="7"/>
  <c r="W16" i="7"/>
  <c r="X16" i="7" s="1"/>
  <c r="G20" i="7"/>
  <c r="W15" i="7"/>
  <c r="X15" i="7" s="1"/>
  <c r="W17" i="7"/>
  <c r="X17" i="7" s="1"/>
  <c r="Q14" i="7"/>
  <c r="W18" i="7"/>
  <c r="X18" i="7" s="1"/>
  <c r="Q16" i="7"/>
  <c r="W14" i="7"/>
  <c r="X14" i="7" s="1"/>
  <c r="Q18" i="7"/>
  <c r="Q17" i="7"/>
  <c r="W25" i="1" l="1"/>
  <c r="C8" i="7"/>
  <c r="C7" i="7"/>
  <c r="C6" i="7"/>
  <c r="Q20" i="7"/>
  <c r="C9" i="7" s="1"/>
  <c r="O23" i="5" l="1"/>
  <c r="N23" i="5"/>
  <c r="M23" i="5"/>
  <c r="K23" i="5"/>
  <c r="J23" i="5"/>
  <c r="I23" i="5"/>
  <c r="H23" i="5"/>
  <c r="Q21" i="5"/>
  <c r="L21" i="5"/>
  <c r="G21" i="5"/>
  <c r="Q20" i="5"/>
  <c r="L20" i="5"/>
  <c r="G20" i="5"/>
  <c r="Q19" i="5"/>
  <c r="L19" i="5"/>
  <c r="G19" i="5"/>
  <c r="Q18" i="5"/>
  <c r="L18" i="5"/>
  <c r="G18" i="5"/>
  <c r="Q17" i="5"/>
  <c r="L17" i="5"/>
  <c r="G17" i="5"/>
  <c r="R16" i="5"/>
  <c r="R23" i="5" s="1"/>
  <c r="L16" i="5"/>
  <c r="G16" i="5"/>
  <c r="U16" i="5" s="1"/>
  <c r="U23" i="5" s="1"/>
  <c r="W21" i="5" l="1"/>
  <c r="X21" i="5" s="1"/>
  <c r="W19" i="5"/>
  <c r="X19" i="5" s="1"/>
  <c r="W20" i="5"/>
  <c r="X20" i="5" s="1"/>
  <c r="W17" i="5"/>
  <c r="X17" i="5" s="1"/>
  <c r="W18" i="5"/>
  <c r="X18" i="5" s="1"/>
  <c r="G23" i="5"/>
  <c r="W16" i="5"/>
  <c r="X16" i="5" s="1"/>
  <c r="L23" i="5"/>
  <c r="Q16" i="5"/>
  <c r="Q23" i="5" s="1"/>
  <c r="E14" i="1" l="1"/>
  <c r="C9" i="5"/>
  <c r="C11" i="5" s="1"/>
  <c r="E15" i="1"/>
  <c r="C10" i="6" l="1"/>
  <c r="X13" i="1" l="1"/>
  <c r="X25" i="1"/>
  <c r="J12" i="1" l="1"/>
  <c r="K14" i="1"/>
  <c r="J21" i="1" l="1"/>
  <c r="S21" i="1" l="1"/>
  <c r="U21" i="1"/>
  <c r="W21" i="1"/>
  <c r="X21" i="1" s="1"/>
  <c r="Y21" i="1" s="1"/>
  <c r="J25" i="1"/>
  <c r="D20" i="1"/>
  <c r="D28" i="1" s="1"/>
  <c r="J20" i="1"/>
  <c r="W20" i="1" l="1"/>
  <c r="U20" i="1"/>
  <c r="S20" i="1"/>
  <c r="J16" i="1"/>
  <c r="X16" i="1" s="1"/>
  <c r="Y16" i="1" s="1"/>
  <c r="E12" i="1"/>
  <c r="X20" i="1" l="1"/>
  <c r="Y20" i="1" s="1"/>
  <c r="Y13" i="1" l="1"/>
  <c r="S12" i="1" l="1"/>
  <c r="X12" i="1" s="1"/>
  <c r="J23" i="1" l="1"/>
  <c r="X23" i="1" s="1"/>
  <c r="Y23" i="1" s="1"/>
  <c r="Q28" i="1" l="1"/>
  <c r="H28" i="1" l="1"/>
  <c r="E28" i="1" l="1"/>
  <c r="F28" i="1" l="1"/>
  <c r="I28" i="1"/>
  <c r="G28" i="1"/>
  <c r="J27" i="1"/>
  <c r="U27" i="1" s="1"/>
  <c r="J26" i="1"/>
  <c r="J24" i="1"/>
  <c r="J22" i="1"/>
  <c r="U22" i="1" s="1"/>
  <c r="J19" i="1"/>
  <c r="X19" i="1" s="1"/>
  <c r="J18" i="1"/>
  <c r="X18" i="1" s="1"/>
  <c r="Y18" i="1" s="1"/>
  <c r="J15" i="1"/>
  <c r="S15" i="1" s="1"/>
  <c r="J14" i="1"/>
  <c r="J13" i="1"/>
  <c r="P28" i="1"/>
  <c r="U28" i="1" l="1"/>
  <c r="X15" i="1"/>
  <c r="X24" i="1"/>
  <c r="Y24" i="1" s="1"/>
  <c r="S19" i="1"/>
  <c r="Y19" i="1"/>
  <c r="W22" i="1"/>
  <c r="S22" i="1"/>
  <c r="W27" i="1"/>
  <c r="S27" i="1"/>
  <c r="W28" i="1" l="1"/>
  <c r="X27" i="1"/>
  <c r="Y27" i="1" s="1"/>
  <c r="X22" i="1"/>
  <c r="Y22" i="1" s="1"/>
  <c r="T28" i="1"/>
  <c r="R28" i="1"/>
  <c r="M28" i="1"/>
  <c r="L28" i="1"/>
  <c r="K28" i="1"/>
  <c r="J17" i="1" l="1"/>
  <c r="X17" i="1" l="1"/>
  <c r="Y17" i="1" s="1"/>
  <c r="S28" i="1"/>
  <c r="X28" i="1"/>
  <c r="J28" i="1"/>
  <c r="O28" i="1" l="1"/>
  <c r="N28" i="1"/>
  <c r="I76" i="6"/>
</calcChain>
</file>

<file path=xl/comments1.xml><?xml version="1.0" encoding="utf-8"?>
<comments xmlns="http://schemas.openxmlformats.org/spreadsheetml/2006/main">
  <authors>
    <author>Maricela Aranda Lopez</author>
  </authors>
  <commentList>
    <comment ref="J15" authorId="0" shapeId="0">
      <text>
        <r>
          <rPr>
            <b/>
            <sz val="9"/>
            <color indexed="81"/>
            <rFont val="Tahoma"/>
            <family val="2"/>
          </rPr>
          <t>Maricela Aranda Lopez:</t>
        </r>
        <r>
          <rPr>
            <sz val="9"/>
            <color indexed="81"/>
            <rFont val="Tahoma"/>
            <family val="2"/>
          </rPr>
          <t xml:space="preserve">
incluyen los cuartos adiciones  39309010.41
</t>
        </r>
      </text>
    </comment>
  </commentList>
</comments>
</file>

<file path=xl/sharedStrings.xml><?xml version="1.0" encoding="utf-8"?>
<sst xmlns="http://schemas.openxmlformats.org/spreadsheetml/2006/main" count="1669" uniqueCount="803">
  <si>
    <t>1501-1511</t>
  </si>
  <si>
    <t>1101-1321</t>
  </si>
  <si>
    <t>FF</t>
  </si>
  <si>
    <t>PRESUPUESTO</t>
  </si>
  <si>
    <t>APROBADO</t>
  </si>
  <si>
    <t>DEVENGADO</t>
  </si>
  <si>
    <t>OBRA PÚBLICA</t>
  </si>
  <si>
    <t>CUADRO RESUMEN</t>
  </si>
  <si>
    <t>DIRECTOR DE EGRESOS</t>
  </si>
  <si>
    <t>PROGRAMA</t>
  </si>
  <si>
    <t>PDM</t>
  </si>
  <si>
    <t>FONDO RESARCITORIO</t>
  </si>
  <si>
    <t>SALDO</t>
  </si>
  <si>
    <t xml:space="preserve"> Autorizado</t>
  </si>
  <si>
    <t>Devengado</t>
  </si>
  <si>
    <t>Saldo</t>
  </si>
  <si>
    <t>Depend. Ejecutora</t>
  </si>
  <si>
    <t>Fecha Autor.</t>
  </si>
  <si>
    <t>Oficio de autorización</t>
  </si>
  <si>
    <t>Programa</t>
  </si>
  <si>
    <t>Número de Obra</t>
  </si>
  <si>
    <t>Descripción de obra</t>
  </si>
  <si>
    <t>Total</t>
  </si>
  <si>
    <t>Municipal</t>
  </si>
  <si>
    <t>Modalidad  Ejecución</t>
  </si>
  <si>
    <t>Avance Financiero</t>
  </si>
  <si>
    <t>Avance Físico</t>
  </si>
  <si>
    <t>Metas                                                      U.M.         Cantidad</t>
  </si>
  <si>
    <t>Beneficiarios</t>
  </si>
  <si>
    <t>Modalidad Adjudicación</t>
  </si>
  <si>
    <t>Contratista</t>
  </si>
  <si>
    <t>No. De Contrato</t>
  </si>
  <si>
    <t>OBRA</t>
  </si>
  <si>
    <t>_______</t>
  </si>
  <si>
    <t>______</t>
  </si>
  <si>
    <t>3</t>
  </si>
  <si>
    <t>C</t>
  </si>
  <si>
    <t>T O T A L E S</t>
  </si>
  <si>
    <t>“Este Programa es público, ajeno a cualquier partido pólitico. Queda prohibido el uso para fines distintos a los establecidos en el programa”.</t>
  </si>
  <si>
    <t>PTTO. ASIGNADO</t>
  </si>
  <si>
    <t>ASIGNADO</t>
  </si>
  <si>
    <t>DM</t>
  </si>
  <si>
    <t xml:space="preserve">RETENCIONES </t>
  </si>
  <si>
    <t>TOTAL OBRA PÚBLICA</t>
  </si>
  <si>
    <t>LIC. MARICELA ARANDA LÓPEZ</t>
  </si>
  <si>
    <t>JEFA DEL DEPTO DE CTROL PPTAL DE LA OBRA PÚBLICA Y PROGRAMS FEDERALES</t>
  </si>
  <si>
    <t xml:space="preserve">PROGRAMAS FEDERALES </t>
  </si>
  <si>
    <t>OBRA POR ADMINSITRACIÓN</t>
  </si>
  <si>
    <t>FINIQUITOS</t>
  </si>
  <si>
    <t>IMAA</t>
  </si>
  <si>
    <t>TOTAL EJERCIDO</t>
  </si>
  <si>
    <t>PTTO. AUTORIZADO</t>
  </si>
  <si>
    <r>
      <rPr>
        <b/>
        <sz val="18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</si>
  <si>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SERVICIOS PERSONALES (1000)</t>
  </si>
  <si>
    <t>MATERIALES Y SUMINISTRO (2000)</t>
  </si>
  <si>
    <t>SERVICIOS GENERALES (3000)</t>
  </si>
  <si>
    <t>OBRA POR CONTRATO          (6000)</t>
  </si>
  <si>
    <t>MATERIALES Y  (2000)</t>
  </si>
  <si>
    <t>BIENES MUEBLES (5000)</t>
  </si>
  <si>
    <t>DEUDA PÚBLICA        (9000)</t>
  </si>
  <si>
    <t>APOYOS              (4000)</t>
  </si>
  <si>
    <t>C.P. JOSE ALFREDO RAMIREZ PEREZ MALDONADO</t>
  </si>
  <si>
    <t>JEFA DEL DPTO. DE CONTROL PRESUPUESTAL DE LA OBRA PÚBLICA  Y PROGRAMAS FEDERALES</t>
  </si>
  <si>
    <t>PROGRAMAS SOCIALES</t>
  </si>
  <si>
    <t>RETENCIONES</t>
  </si>
  <si>
    <t xml:space="preserve">OBRA PÚBLICA 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</si>
  <si>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PROGRAMA DIRECTO MUNICIPAL (PDM) 2019</t>
    </r>
  </si>
  <si>
    <t xml:space="preserve">FORTAMUN-DF </t>
  </si>
  <si>
    <t xml:space="preserve">FISM-DF </t>
  </si>
  <si>
    <t>PRODER</t>
  </si>
  <si>
    <t>FORTAFIN</t>
  </si>
  <si>
    <t>PRORE</t>
  </si>
  <si>
    <t xml:space="preserve">HABITAT </t>
  </si>
  <si>
    <t>3 X 1 PARA MIGRANTES</t>
  </si>
  <si>
    <r>
      <t>FORTASEG</t>
    </r>
    <r>
      <rPr>
        <b/>
        <sz val="18"/>
        <color theme="1"/>
        <rFont val="Futura Bk BT"/>
      </rPr>
      <t xml:space="preserve">  </t>
    </r>
  </si>
  <si>
    <r>
      <t>FORTASEG</t>
    </r>
    <r>
      <rPr>
        <b/>
        <sz val="18"/>
        <color theme="1"/>
        <rFont val="Futura Bk BT"/>
      </rPr>
      <t xml:space="preserve">  COPARTICIPACION</t>
    </r>
  </si>
  <si>
    <r>
      <rPr>
        <b/>
        <sz val="16"/>
        <color indexed="9"/>
        <rFont val="Calibri"/>
        <family val="2"/>
      </rPr>
      <t>SECRETARIA DE FINANZAS PUBLICAS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</si>
  <si>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>Núm. Obra</t>
  </si>
  <si>
    <t>Federal</t>
  </si>
  <si>
    <t>AD</t>
  </si>
  <si>
    <t xml:space="preserve">Estudios, Proyectos y Peritos./ Aguascalientes. </t>
  </si>
  <si>
    <t>VARIOS</t>
  </si>
  <si>
    <t>2019-PDM-0004-UR-01-001</t>
  </si>
  <si>
    <t>UR</t>
  </si>
  <si>
    <t>4</t>
  </si>
  <si>
    <t>Construcción de Sobrecarpeta Asfaltica, callle Emiliano Zapata, tramo: entre Calle Libertad y Calle Gorostiza. Centro Zona.</t>
  </si>
  <si>
    <t>M2</t>
  </si>
  <si>
    <t>2019-PDM-0005-UR-01-002</t>
  </si>
  <si>
    <t>5</t>
  </si>
  <si>
    <t>2019-PDM-0006-UR-01-003</t>
  </si>
  <si>
    <t>6</t>
  </si>
  <si>
    <t>Construcción de Sobrecarpeta Asfaltica, Av. Las Americas calzada Oriente, tramo: entre Av. Convención de 1914 y Calle Rupública de Chile Aguascalientes Mpio.</t>
  </si>
  <si>
    <t>8</t>
  </si>
  <si>
    <t>Construcción de Sobrecarpeta Asfaltica, Av. Constitución calzada Oriente, tramo: entre Calle Juan Bautista Lasalle  y Calle Pozo de Zafiro Aguascalientes Mpio.</t>
  </si>
  <si>
    <t>9</t>
  </si>
  <si>
    <t>Construcción de Sobrecarpeta Asfaltica, Av. Constitución calzada Oriente, tramo: entre Calle Pozo de Zafiro  y Av. Pozo Bravo Aguascalientes Mpio.</t>
  </si>
  <si>
    <t>2019-PDM-0010-UR-01-007</t>
  </si>
  <si>
    <t>10</t>
  </si>
  <si>
    <t>Construcción de Sobrecarpeta Asfaltica, Av. Constitución calzada Oriente, tramo: entre Av. Pozo Bravo  y Calle Artículo 35 Aguascalientes Mpio.</t>
  </si>
  <si>
    <t>2019-PDM-0011-UR-01-008</t>
  </si>
  <si>
    <t>11</t>
  </si>
  <si>
    <t>Construcción de Sobrecarpeta Asfaltica, Av. Constitución calzada Oriente, tramo: entre Calle Artículo 35  y Acceso a Condominio San José Aguascalientes Mpio.</t>
  </si>
  <si>
    <t>2019-PDM-0012-UR-01-009</t>
  </si>
  <si>
    <t>12</t>
  </si>
  <si>
    <t>Construcción de Sobrecarpeta Asfaltica, Av. Las Américas Calzada Poniente, tramo: Av. Conveción de 1914  y Calle República de Chile Aguascalientes Mpio.</t>
  </si>
  <si>
    <t>2019-PDM-0013-UR-01-010</t>
  </si>
  <si>
    <t>13</t>
  </si>
  <si>
    <t>Construcción de Sobrecarpeta Asfaltica, Av. Héroe de Nacozari sur Calzada Poniente tramo: entre acceso hehicular INEGI  y Calle Montealbán Aguascalientes Mpio.</t>
  </si>
  <si>
    <t>2019-PDM-0016-UR-01-011</t>
  </si>
  <si>
    <t>16</t>
  </si>
  <si>
    <t>Construcción de Sobrecarpeta Asfaltica, Av. Héroe de Nacozari sur Calzada Poniente tramo: entre Av. Aguascalientes  y Acceso Vehicular INEGI Aguascalientes Mpio.</t>
  </si>
  <si>
    <t>2019-PDM-0017-UR-01-012</t>
  </si>
  <si>
    <t>17</t>
  </si>
  <si>
    <t>Construcción de Sobrecarpeta Asfaltica, Av. De la Conveción de 1914 Oriente,Calzada Oriente tramo: entre Calle Obrero Mundial  y Puente de Av. Gabriela Mistral Aguascalientes Mpio.</t>
  </si>
  <si>
    <t>2019-PDM-0018-DM-05-002</t>
  </si>
  <si>
    <t>18</t>
  </si>
  <si>
    <t>Casa del Adulto Mayor Calle Olivos, esq. Calle Antonio Nava Castillo, Jesus Teran Peredo Fracc.</t>
  </si>
  <si>
    <t>2019-PDM-0019-UR-04-013</t>
  </si>
  <si>
    <t>19</t>
  </si>
  <si>
    <t>Parque Valle de lo Cactus Calle paseo de la biznaga y Calle Juventino de la Torre Torres. Valle de los Cactus Fracc.</t>
  </si>
  <si>
    <t>2019-PDM-0020-UR-03-014</t>
  </si>
  <si>
    <t>20</t>
  </si>
  <si>
    <t>Reposición de Banquetas Varios puntos de la Ciudad de la Ciudad, Aguascalientes Mpio.</t>
  </si>
  <si>
    <t>2019-PDM-0021-UR-05-015</t>
  </si>
  <si>
    <t>21</t>
  </si>
  <si>
    <t>Rehabilitación de Camellon Central Av. Proceres de la enseñanza. Tramo entre Salida a  S.L.P. y Calle Antonia López de Chavez, J. Guadalupe Peralta Gamez Fracc.</t>
  </si>
  <si>
    <t>2019-PDM-0022-UR-01-016</t>
  </si>
  <si>
    <t>22</t>
  </si>
  <si>
    <t>Construcción de Sobrecarpeta Asfaltica, Av. De la Conveción de 1914 Oriente,Calzada Poniente tramo: entre Calle Circuito del Mosto y  Calle Nazario Ortiz Garza Aguascalientes Mpio.</t>
  </si>
  <si>
    <t>2019-PDM-0023-DM-05-003</t>
  </si>
  <si>
    <t>23</t>
  </si>
  <si>
    <t>Centro de Atención Municipal CAM, Oficinas Administrativas lado Poniente Av. Adolfo Lópeez Mateos  S/N Obraje Col.</t>
  </si>
  <si>
    <t>2019-PDM-0025-ID-01-002</t>
  </si>
  <si>
    <t>ID</t>
  </si>
  <si>
    <t>25</t>
  </si>
  <si>
    <t>Construcción de cubierta tipo "B", Cancha de usos Multiples Av. Héroe de Nacozari Sur Esq. Calle Casa Blanca Av. Héroe de Nacozari sur, Esq. Calle Casa Blanca, Mexico Fracc.</t>
  </si>
  <si>
    <t>2019-PDM-0027-UR-01-017</t>
  </si>
  <si>
    <t>27</t>
  </si>
  <si>
    <t>Construcción de Sobrecarpeta Asfaltica, Blv. A Zacatecas, Calzada Oriente Tramo: Entre Av. Aguascalientes y Entrada de Servicios de MEGA, Aguascalintes, Mpio.</t>
  </si>
  <si>
    <t>SSP</t>
  </si>
  <si>
    <t>2018/2019-PDM-0028-003-UR-05-032</t>
  </si>
  <si>
    <t>28</t>
  </si>
  <si>
    <t>Mantenimiento y Mejoramiento de Areas Verdes en el Municipio de Aguascalientes./ Varios Puntos de la Ciudad</t>
  </si>
  <si>
    <t>2019-PDM-0029-UR-01-018</t>
  </si>
  <si>
    <t>29</t>
  </si>
  <si>
    <t>Construcción de Sobrecarpeta Asfaltica Blv. A Zacatecas, Calzada Oriente Tramo: Entre Entrada a Servicios de Mega y Entrada a Cementera Cruz Azul, Aguascalientes, Mpio.</t>
  </si>
  <si>
    <t>2019-PDM-0030-DM-05-004</t>
  </si>
  <si>
    <t>30</t>
  </si>
  <si>
    <t>Centro de Atención Municipal CAM, Instalaciones Generales  Av. Adolfo Lópeez Mateos  S/N Obraje Col.</t>
  </si>
  <si>
    <t>2019-PDM-0033-UR-01-020</t>
  </si>
  <si>
    <t>33</t>
  </si>
  <si>
    <t>Construccioón de Pavimento Hidraulico, Calle Autlán, Tramo: Entre Calle Tenacatita y Atenquique, La Soledad Fracc.</t>
  </si>
  <si>
    <t>2018/2019-PDM-0068-002-ID-01-004</t>
  </si>
  <si>
    <t>68</t>
  </si>
  <si>
    <t>Construcción de Skatorama, Parque Loma Bonita./ Loma Bonita Fracc.</t>
  </si>
  <si>
    <t>INV. REST. ESTATAL</t>
  </si>
  <si>
    <t>CONTROL DE OBRA Y CONSTRUCCIONES DE AGUASCALIENTES, S.A. DE C.V.</t>
  </si>
  <si>
    <t>DM-0068-2018</t>
  </si>
  <si>
    <t>2018/2019-PDM-0130-002-S5-02-003</t>
  </si>
  <si>
    <t>S5</t>
  </si>
  <si>
    <t>130</t>
  </si>
  <si>
    <t>Construcción de la Etapa 6 - A del Relleno Sanitario San Nicolás./ Kilómetro 9.3 Carretera a San Nicolás- José María Morelos</t>
  </si>
  <si>
    <t>DIRECTA ESTATAL</t>
  </si>
  <si>
    <t>FEDGAR CONSTRUCCIONES Y SERVICIOS S.A. DE C.V.</t>
  </si>
  <si>
    <t>DM-0130-2018</t>
  </si>
  <si>
    <t>2018/2019-PDM-0142-003-UR-04-052</t>
  </si>
  <si>
    <t>142</t>
  </si>
  <si>
    <t>Convivencia Ferroviaria Etapa II (Meta 01),  Construcción de Pavimento, Guarniciónes y Banquetas./ Av. Manuel Gómez Morín Cruce Calle Ezequiel A. Chávez Sur, Aguascalientes Mpio.</t>
  </si>
  <si>
    <t>2018/2019-PDM-0143-003-UR-04-053</t>
  </si>
  <si>
    <t>143</t>
  </si>
  <si>
    <t>Convivencia Ferroviaria Etapa II (Meta 02),  Señalización y Alumbrado Ornamental./ Av. Manuel Gómez Morín Cruce Ezequiel A. Chávez Sur, Aguascalientes Mpio.</t>
  </si>
  <si>
    <t>2018/2019-PDM-0177-002-UR-03-056</t>
  </si>
  <si>
    <t>177</t>
  </si>
  <si>
    <t>Convivencia Ferroviaria Etapa II (Meta03), Banquetas, Rampas y Andadores./ Tramo de Av. López Mateos a Ezequiel A. Chávez, Aguascalientes. Mpio.</t>
  </si>
  <si>
    <t>2018/2019-PDM-0194-002-DM-05-018</t>
  </si>
  <si>
    <t>194</t>
  </si>
  <si>
    <t>Construcción de Barda Perimetral en Pensión Municipal./ Prol. Av. Héroe Inmortal S/N. Pensión Municipal, Aguascalientes Mpio.</t>
  </si>
  <si>
    <t>209</t>
  </si>
  <si>
    <t>Rehabilitación de Alberca V.N.S.A. 1A Etapa./ Av. Poliducto S/N, Villa de Nuestra Señora de la Asunción.</t>
  </si>
  <si>
    <t>MIGUEL DE JESUS RODRIGUEZ LEAL GUZMAN</t>
  </si>
  <si>
    <t>DM-0209-2018</t>
  </si>
  <si>
    <t>2018/2019-PDM-0244-002-UR-04-060</t>
  </si>
  <si>
    <t>244</t>
  </si>
  <si>
    <t>Parque Urbano (Baños). C. El Zarco S/N, Municipio  Libre Fracc.</t>
  </si>
  <si>
    <t>L.V. CONSTRUCCION, S.A. DE C.V.</t>
  </si>
  <si>
    <t>DM-0244-2018/2019</t>
  </si>
  <si>
    <t>2018/2019-PDM-0245-002-UR-04-061</t>
  </si>
  <si>
    <t>245</t>
  </si>
  <si>
    <t>Regeneración de Glorieta Benito Juarez, Etapa 2, Av. Las Américas, Av. Ayuntamiento y Av. F. lizondo, Las Fuentes</t>
  </si>
  <si>
    <t>DM-0245-2018/2019</t>
  </si>
  <si>
    <t>2018/2019-PDM-0246-002-UR-04-062</t>
  </si>
  <si>
    <t>246</t>
  </si>
  <si>
    <t>Regeneración, Glorieta La Purísisma, Etapa 2, La Purísima, Barrio.</t>
  </si>
  <si>
    <t>2018/2019-PDM-0247-002-UR-04-063</t>
  </si>
  <si>
    <t>247</t>
  </si>
  <si>
    <t>Construcción y Rehabilitación Parque Constitución (Muros de Contención Lateral Norte) A. Constitución, Esq. Artículo 39, Constitución Facc.</t>
  </si>
  <si>
    <t>JOSMAR CONSTRUCCIONES, S.A. DE C.V.</t>
  </si>
  <si>
    <t>DM-0247-2018/2019</t>
  </si>
  <si>
    <t>250</t>
  </si>
  <si>
    <t>Rehabilitación de módulos de policia, Destacamiento Terán Sur, Aguascalientes Mpio.</t>
  </si>
  <si>
    <t>MODULOS</t>
  </si>
  <si>
    <t>251</t>
  </si>
  <si>
    <t>Rehabilitación de módulos de policia, Destacamiento Morelos e Insurgentes, Aguascalientes Mpio.</t>
  </si>
  <si>
    <t>J. JESUS BERNAL MARTINEZ</t>
  </si>
  <si>
    <t>DM-0251-2018/2019</t>
  </si>
  <si>
    <t>2018/2019-PDM-0252-002-DM-05-037</t>
  </si>
  <si>
    <t>252</t>
  </si>
  <si>
    <t>Rehabilitación de módulos de policia, Destacamiento Morelos, Aguascalientes Mpio.</t>
  </si>
  <si>
    <t>FRADAG CONSTRUCCIONES, S.A. DE C.V.</t>
  </si>
  <si>
    <t>DM-0252-2018/2019</t>
  </si>
  <si>
    <t>2018/2019-PDM-0253-002-ID-01-014</t>
  </si>
  <si>
    <t>253</t>
  </si>
  <si>
    <t>Construcción de cubierta tipo "B", Parque Ojocaliente I, Av. Aguascalientes, Esq. Calle Cotorinas, Ojocaliente Fracc. 1 secc.</t>
  </si>
  <si>
    <t>CONSORCIO INDUSTRIAL INTERNACIONAL AIRE, S.A. DE C.V.</t>
  </si>
  <si>
    <t>DM-0253-2018/2019</t>
  </si>
  <si>
    <t>254</t>
  </si>
  <si>
    <t>Remodelación y adecuación, Delegación Constitución, calle Artículo 21 y Av. Constitución Fracc.</t>
  </si>
  <si>
    <t>2018/2019-PDM-0255-DM-05-039</t>
  </si>
  <si>
    <t>255</t>
  </si>
  <si>
    <t>Remodelación y adecuación, Delegación Guadalupe Peralta, Calle Desiderio Macias Silva, J. Guadalupe Peralta Gamez Fracc.</t>
  </si>
  <si>
    <t>CONESTRUCTURA, S.A. DE C.V.</t>
  </si>
  <si>
    <t>DM-0255-2018/2018</t>
  </si>
  <si>
    <t>2018/2019-PDM-0256-002-ID-03-015</t>
  </si>
  <si>
    <t>256</t>
  </si>
  <si>
    <t>Rehabilitación de cubierta en cancha de usos mútiples, Fidel Velazquez</t>
  </si>
  <si>
    <t>ECCAR ESTRUCTURA METALICA, S.A. DE C.V.</t>
  </si>
  <si>
    <t>DM-0256-2018/2019</t>
  </si>
  <si>
    <t>2018/2019-PDM-0257-002-DM-05-040</t>
  </si>
  <si>
    <t>257</t>
  </si>
  <si>
    <t>Remodelación y Adecuación, Delegación Lomas del Ajedrez, Av. Poliducto y Av. Mariano Hidalgo, Lomas del Ajedrez Fracc.</t>
  </si>
  <si>
    <t>258</t>
  </si>
  <si>
    <t>Remodelación y Adecuación, Delegación Villas de Nuestra Señora de la Asunción, Calle Ermita de San Sebastian, Villa de Nuestra Señora de la Asunción, Sector Guadalupe, Fracc 1a. Secc. Lomas del Ajedrez, Av. Poliducto y Av. Mariano Hidalgo, Lomas del Ajedrez Fracc.</t>
  </si>
  <si>
    <t>2018/2019-PDM-0259-002-DM-05-042</t>
  </si>
  <si>
    <t>259</t>
  </si>
  <si>
    <t>Rehabilitación de Techumbre Centro de atencion Municipal  C.A.M. AV.Adolfo Lopez Mateos, Obraje Col.</t>
  </si>
  <si>
    <t>DM-0259-2018/2019</t>
  </si>
  <si>
    <t>2018/2019-PDM-0260-002-DM-05-043</t>
  </si>
  <si>
    <t>260</t>
  </si>
  <si>
    <t>Rehabilitacion de Locales Comerciales, Centro de Atencion Municipal C.A.M. AV. Adolfo Lopez Mateos.</t>
  </si>
  <si>
    <t>CBG CONSTRUCCIONES, S.A. DE C.V.</t>
  </si>
  <si>
    <t>DM-0260-2018/2019</t>
  </si>
  <si>
    <t>2018/2019-PDM-0261-002-DM-05-044</t>
  </si>
  <si>
    <t>261</t>
  </si>
  <si>
    <t>Rehabilitacion de Fachadas, Centro de Atencion Municipal C.A.M. AV. Adolfo Lopez Mateos. Obraje Col.</t>
  </si>
  <si>
    <t>DM-0261-2018/2019</t>
  </si>
  <si>
    <t>2018/2019-PDM-0262-002-DM-05-045</t>
  </si>
  <si>
    <t>262</t>
  </si>
  <si>
    <t>Construccion de Servicios Sanitarios: Centro de Atencion Municipal C.A.M. AV. Adolfo Lopez Mateos, Obraje Col.</t>
  </si>
  <si>
    <t>HORACIO DE LIRA IBARRA</t>
  </si>
  <si>
    <t>DM-0262-2018/2019</t>
  </si>
  <si>
    <t>SOPMA</t>
  </si>
  <si>
    <t>FOREMOBA 2019 Federal</t>
  </si>
  <si>
    <t>32</t>
  </si>
  <si>
    <t>Construccioón de Pavimento Hidraulico, Calle Emiliano Zapata Los Caños</t>
  </si>
  <si>
    <t>7</t>
  </si>
  <si>
    <t>Construcción de Sobrecarpeta Asfaltica, Av. Constitución Calzada Oriente Tramo entre Av. Aguascalientes Juan Bautista</t>
  </si>
  <si>
    <t>Construcción de Sobrecarpeta Asfaltica, callle Arroz, tramo: entre Av. Aguascalientes y Calle  B. Tierra Buena Fracc.(CANCELADA)</t>
  </si>
  <si>
    <t>2019-PDM-0026-ID-01-003</t>
  </si>
  <si>
    <t>26</t>
  </si>
  <si>
    <t>Construcción de cubierta tipo "B" Av. Convención de 1914 Ote. Y C.Felipe Carrillo Puerto</t>
  </si>
  <si>
    <t>2019-PDM-0035-DM-06-04</t>
  </si>
  <si>
    <t>35</t>
  </si>
  <si>
    <t>Programa de Barrio Magicos Fachada C. Princesita Barrio La Salud</t>
  </si>
  <si>
    <t>2019-PDM-0036-DM-06-05</t>
  </si>
  <si>
    <t>36</t>
  </si>
  <si>
    <t>Programa de Barrio Magicos Fachada C. Delicias Barrio La Salud</t>
  </si>
  <si>
    <t>2019-PDM-0037-DM-06-06</t>
  </si>
  <si>
    <t>37</t>
  </si>
  <si>
    <t>Programa de Barrio Magicos Fachada C. San Atanacio Barrio La Salud</t>
  </si>
  <si>
    <t>2019-PDM-0031-UR-04-019</t>
  </si>
  <si>
    <t>31</t>
  </si>
  <si>
    <t>Construcción de Parque Urbano (Fuente, Obra Civil y Equipamiento)</t>
  </si>
  <si>
    <t>2019-PDM-0024-ID-01-001</t>
  </si>
  <si>
    <t>24</t>
  </si>
  <si>
    <t>Construcción de cubierta tipo "B", Cancha de usos Multiples Parque Villa Teresa</t>
  </si>
  <si>
    <t>VERTIENTES DE ESPACIOS PÚBLICOS</t>
  </si>
  <si>
    <r>
      <t xml:space="preserve">DEPARTAMENTO DE CONTROL PRESUPUESTAL DE LA OBRA PÚBLICA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</t>
    </r>
  </si>
  <si>
    <t>FONDO DE APORTACIONES PARA EL FORTALECIMIENTO DE LOS MUNICIPIOS Y DEMARCACIONES TERRITORIALES DEL DISTRITO FEDERAL</t>
  </si>
  <si>
    <t>PTTO ASIGNADO</t>
  </si>
  <si>
    <t>PPTO AUTORIZADO</t>
  </si>
  <si>
    <t>Dep Ejec</t>
  </si>
  <si>
    <t>Pago de Sueldos y Pensiones de Seguridad Pública</t>
  </si>
  <si>
    <t>_</t>
  </si>
  <si>
    <t>Lote</t>
  </si>
  <si>
    <t>2019-FORTAMUNDF-0001-DM-06-001</t>
  </si>
  <si>
    <t>(FORTAMUNDF) 2019</t>
  </si>
  <si>
    <t>FOREMOBA REM 2018 Municipal</t>
  </si>
  <si>
    <t>FOREMOBA REM  2017 Municipal</t>
  </si>
  <si>
    <t>GRUPO REALIZA, S.A. DE C.V.</t>
  </si>
  <si>
    <t>DM-004-2019</t>
  </si>
  <si>
    <t>MAQUINARIA Y CONSTRUCCIONES CAFA, S.A. DE C.V.</t>
  </si>
  <si>
    <t>DM-006-2019</t>
  </si>
  <si>
    <t>MAGS CONSTRUCCIONES, S.A. DE C.V.</t>
  </si>
  <si>
    <t>DM-007-2019</t>
  </si>
  <si>
    <t>CONSTRUCTORA FLORES HERMANOS, S.A. DE C.V.</t>
  </si>
  <si>
    <t>DM-008-2019</t>
  </si>
  <si>
    <t>VELASER, S.A. DE C.V.</t>
  </si>
  <si>
    <t>DM-009-2019</t>
  </si>
  <si>
    <t>DM-0012-2019</t>
  </si>
  <si>
    <t>DM-0013-2019</t>
  </si>
  <si>
    <t>DM-0016--2019</t>
  </si>
  <si>
    <t>CONSTRUCTORA LASCAMAS, S.A. DE C.V.</t>
  </si>
  <si>
    <t>DM-0017-2019</t>
  </si>
  <si>
    <t>LUVI, S.A. DE C.V.</t>
  </si>
  <si>
    <t>DM-0019-2019</t>
  </si>
  <si>
    <t>LM4 POZOS Y CONSTRUCCION, S.A. DE C.V.</t>
  </si>
  <si>
    <t>DM-0020-2019</t>
  </si>
  <si>
    <t>ARVAVALENCIA, S.A. DE C.V.</t>
  </si>
  <si>
    <t>DM-0021-2019</t>
  </si>
  <si>
    <t>TRITURADOS Y ASFALTOS TRIANA, S.A. DE C.V.</t>
  </si>
  <si>
    <t>DM-0022-2019</t>
  </si>
  <si>
    <t>DIES ARQUITECTURA Y CONSTRUCCIONES, S.A. DE C.V.</t>
  </si>
  <si>
    <t>DM-0027-2019</t>
  </si>
  <si>
    <t>JAIME VALDIVIA CONSTRUCCIONES, S.A. DE C.V.</t>
  </si>
  <si>
    <t>DM-0029-2019</t>
  </si>
  <si>
    <t>2019-PDM-0032-UR-01-019</t>
  </si>
  <si>
    <t>ENCO SERVICIOS S.A. DE C.V.</t>
  </si>
  <si>
    <t>DM-0033-2019</t>
  </si>
  <si>
    <t>EA</t>
  </si>
  <si>
    <t>38</t>
  </si>
  <si>
    <t>Instalación de Infraestructura para Alumbrado Público Av. Guadalupe Gonzalez, Esq. Av. Eugenio Garza Sada, Aguascalientes Mpio.</t>
  </si>
  <si>
    <t>40</t>
  </si>
  <si>
    <t>Apoyos Comunitarios, Todo el Municipio de Aguascalientes.</t>
  </si>
  <si>
    <t>41</t>
  </si>
  <si>
    <t>Mantenimiento y Adecuación de Infraestructura Municipal. Todo el Municipio de Aguascalientes.</t>
  </si>
  <si>
    <t>42</t>
  </si>
  <si>
    <t>Atención Ciudadana y Miercoles Ciudadano. Todo el Municipio de Aguascalientes.</t>
  </si>
  <si>
    <t>43</t>
  </si>
  <si>
    <t>Revive y Pintura en Fachadas. Todo el Municipio de Aguascalientes.</t>
  </si>
  <si>
    <t>44</t>
  </si>
  <si>
    <t>Tiraderos de Escombro.</t>
  </si>
  <si>
    <t>IE</t>
  </si>
  <si>
    <t>45</t>
  </si>
  <si>
    <t>Rehabilitación y Mantenimiento de Espacios Educativos. Todo el Municipio de Aguascalientes.</t>
  </si>
  <si>
    <t>46</t>
  </si>
  <si>
    <t>Rehabilitación y Mantenimiento de Vialidades. Todo el Municipio de Aguascalientes.</t>
  </si>
  <si>
    <t>47</t>
  </si>
  <si>
    <t>Pintura en Vialidades, Nomenclaturas y Dignificación de Pasos a Desnivel. Todo el Municipio de Aguascalientes.</t>
  </si>
  <si>
    <t>48</t>
  </si>
  <si>
    <t>Movimiento de Tierras, Obras Complementarias y Limpieza de Cauces. Todo el Municipio de Aguascalientes.</t>
  </si>
  <si>
    <t>2019-PDM-0055-UR-01-030</t>
  </si>
  <si>
    <t>55</t>
  </si>
  <si>
    <t>Pavimento Hidráulico, Calle Inés Mariscal. Entre calle Luis Donaldo Colosio Murrieta y Calle Efraín Barrientos(arroyo) Los Negritos Com.</t>
  </si>
  <si>
    <t>2019-PDM-0056-UR-04-031</t>
  </si>
  <si>
    <t>56</t>
  </si>
  <si>
    <t xml:space="preserve">Construcción de Parque Urbano (Muros de Contención, Instalación Eléctrica, Media Tención y Alimentadores) Calle el Zarco, Municipio Libre Fracc. </t>
  </si>
  <si>
    <t>2019-PDM-0057-UR-04-033</t>
  </si>
  <si>
    <t>57</t>
  </si>
  <si>
    <t xml:space="preserve">Construcción de Parque Urbano (Cuarto de Máquinas e Instalaciones) Calle el Zarco, Municipio Libre Fracc. </t>
  </si>
  <si>
    <t>2019-PDM-0060-EA-01-002</t>
  </si>
  <si>
    <t>60</t>
  </si>
  <si>
    <t>Alumbrado en Canchas Av. Carolina Villanueva de Garcia. Ciudad Industrial Fracc.</t>
  </si>
  <si>
    <t>LUMINARIA</t>
  </si>
  <si>
    <t>SERVICIOS EN CONCRETO MAZA, S.A. DE C.V.</t>
  </si>
  <si>
    <t>DM-0142-2018</t>
  </si>
  <si>
    <t>DM-0194-2018</t>
  </si>
  <si>
    <t>DM-0250-2018/2019</t>
  </si>
  <si>
    <t>DM-0254-2018/2019</t>
  </si>
  <si>
    <t>GUBBIO DISEÑO, S.A. DE C.V.</t>
  </si>
  <si>
    <t>DM-0258-2018/2019</t>
  </si>
  <si>
    <t xml:space="preserve">Metas                                                      U.M.         </t>
  </si>
  <si>
    <t>Cantidad</t>
  </si>
  <si>
    <t>No. de Contrato</t>
  </si>
  <si>
    <t>FORTASEG</t>
  </si>
  <si>
    <t>AM</t>
  </si>
  <si>
    <t>SDS</t>
  </si>
  <si>
    <t>2019-FORTAMUNDF-0061-AS-03-001</t>
  </si>
  <si>
    <t>Tejiendo Esperanzas con el Corazón (Estambre</t>
  </si>
  <si>
    <t>Paquete</t>
  </si>
  <si>
    <t>2019-FORTAMUNDF-0062-AS-03-002</t>
  </si>
  <si>
    <t>Convivamos Juntos</t>
  </si>
  <si>
    <t>2019-FORTAMUNDF-0063-AS-03-003</t>
  </si>
  <si>
    <t>Cimentando el Futuro con el Corazón</t>
  </si>
  <si>
    <t>2019-FORTAMUNDF-0064-AS-03-004</t>
  </si>
  <si>
    <t>Juntos Nutrimos con el Corazón</t>
  </si>
  <si>
    <t>CAPITULO 1000 DE SEGURIDAD PÚBLICA</t>
  </si>
  <si>
    <r>
      <rPr>
        <b/>
        <sz val="16"/>
        <color theme="0"/>
        <rFont val="Calibri"/>
        <family val="2"/>
      </rPr>
      <t xml:space="preserve">SECRETARIA DE FINANZAS PUBLICAS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0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DE EGRESOS</t>
    </r>
  </si>
  <si>
    <t xml:space="preserve">FONDO PARA LA INFRAESTRUCTURA SOCIAL MUNICIPAL Y DE LAS DEMARCACIONES TERRITORIALES DEL DISTRITO FEDERAL </t>
  </si>
  <si>
    <t>RAMO 33 (FISMDF-2019)</t>
  </si>
  <si>
    <t>PTTO. APROBADO</t>
  </si>
  <si>
    <t>Anticipos</t>
  </si>
  <si>
    <t xml:space="preserve">Total </t>
  </si>
  <si>
    <t>Federal 2019</t>
  </si>
  <si>
    <t xml:space="preserve"> Pendientes de Devengar 2018</t>
  </si>
  <si>
    <t>Av. Financiero</t>
  </si>
  <si>
    <t>Av. Físico</t>
  </si>
  <si>
    <t>Modelo de Adjudicación</t>
  </si>
  <si>
    <t>CCAPAMA</t>
  </si>
  <si>
    <t>2019-FISMDF-0071-02062-005</t>
  </si>
  <si>
    <t>071</t>
  </si>
  <si>
    <t>Rehabilitación de la Red de Alcantarillado Sanitarioa en C. Dr. Francisco Guel Jimenez en en el Tramo de c. Francisco M. Revilla a C.Humberto Gonzalez Araujo  Fracc. Benito Palomino Dena Etapa 1</t>
  </si>
  <si>
    <t>CONTRATO</t>
  </si>
  <si>
    <t>ML</t>
  </si>
  <si>
    <t>563</t>
  </si>
  <si>
    <t>2019-FISMDF-0072-02062-006</t>
  </si>
  <si>
    <t>072</t>
  </si>
  <si>
    <t xml:space="preserve">Rehabilitación de la Red de Alcantarillado de la Calle Miguel Romo Medina en el Tramo C. Gilberto Lopez Velarde a C. Humberto Gonzalez Araujo Fracc.Benito Palomino Dena Etapa </t>
  </si>
  <si>
    <t>544</t>
  </si>
  <si>
    <t>2019-FISMDF-0073-02062-007</t>
  </si>
  <si>
    <t>073</t>
  </si>
  <si>
    <t>Construcción de Red de Alcantarillado Sanitario en la C. Lic. Francisco Ramirez Martinez en el Tramo de C.Francisco M. Revilla a C. Humberto Gonzalez Araujo Fracc. Benito Palomino Dena Etapa 1</t>
  </si>
  <si>
    <t>648</t>
  </si>
  <si>
    <t>2019-FISMDF-0074-02062-008</t>
  </si>
  <si>
    <t>074</t>
  </si>
  <si>
    <t>Construcción de Red de Alcantarillado Sanitario de la C. Ma. Del Carmen Martin del Campo en el Tramo de C. Gilberto Lopez Velarde a C. Humberto Gonzalez Araujo del Fracc.Benito Palomino Dena Etapa 1</t>
  </si>
  <si>
    <t>491</t>
  </si>
  <si>
    <t>2019-FISMDF-0075-02062-009</t>
  </si>
  <si>
    <t>075</t>
  </si>
  <si>
    <t>Rehabilitación de la Red de Alcantarillado Sanitario en C. Hector del Villar en el Tramo de C. Alfonso Rodriguez Franco a C. Humberto Gonzalez Araujo Fracc. Benito Palomino Dena Etapa 1</t>
  </si>
  <si>
    <t>455</t>
  </si>
  <si>
    <t>2019-FISMDF-0077-02062-011</t>
  </si>
  <si>
    <t>077</t>
  </si>
  <si>
    <t>Rehabilitacion de la Red de Alcantarillado Sanitario en C. Pedro Rivas Cuellar en el Tramo de Francisco M. Revilla a Gilberto Lopez Velarde Fracc. Benito Palomino Dena Etapa 2</t>
  </si>
  <si>
    <t>369</t>
  </si>
  <si>
    <t>2019-FISMDF-0078-02062-012</t>
  </si>
  <si>
    <t>078</t>
  </si>
  <si>
    <t>Rehabilitacio de la Red de Alcantarillado Sanitario en la C. Belisario Dominguez entre Abraham Gonzalez y Av. Convencion Fracc. Insurgentes</t>
  </si>
  <si>
    <t>110</t>
  </si>
  <si>
    <t>2019-FISMDF-0079-02062-013</t>
  </si>
  <si>
    <t>079</t>
  </si>
  <si>
    <t>Rehabilitación de la Red Alcantarillado Sanitario de la C. Belizario Dominguez entre Mariano Azuela y Doroteo Arango Fracc. Insurgentes</t>
  </si>
  <si>
    <t>2019-FISMDF-0081-0411101-001</t>
  </si>
  <si>
    <t>081</t>
  </si>
  <si>
    <t>Construcción de Red de Pavimento Hidraulico C.San Patricio Tramo entre C. San Cosme y C. San Lucas Fracc. Los Pericos</t>
  </si>
  <si>
    <t>400</t>
  </si>
  <si>
    <t>2019-FISMDF-0082-0411101-002</t>
  </si>
  <si>
    <t>082</t>
  </si>
  <si>
    <t>Construccion de Pavimento Hidraulico C. San Patricio Tramo entre C. Cultura Otomi y Cosme Fracc. Los Pericos</t>
  </si>
  <si>
    <t>600</t>
  </si>
  <si>
    <t>2019-FISMDF-0083-0411101-003</t>
  </si>
  <si>
    <t>083</t>
  </si>
  <si>
    <t>Construcción de Pavimento Hidraulico C. San Bernardo Tramo entre C. San Rafael y C. S an Cosme Fracc. Los Pericos</t>
  </si>
  <si>
    <t>2019-FISMDF-0084-0411101-004</t>
  </si>
  <si>
    <t>084</t>
  </si>
  <si>
    <t>Construcción de Pavimento Hidraulico C. S an Pablo Tramo entre C. San Rafael y C. San Cosme Fracc. Los Pericos</t>
  </si>
  <si>
    <t>2019-FISMDF-0086-02071-015</t>
  </si>
  <si>
    <t>086</t>
  </si>
  <si>
    <t>Construcción de Canal de Desfogue Revestido a Cielo Abierto en el Bordo Santa Elena Ex E jido Cumbres Transiciones Vertedor Alcantarillada Canal Desfogue y Muro Cerca de Protección Bordo Santa Elena Ex Ejido Cumbres</t>
  </si>
  <si>
    <t>1600</t>
  </si>
  <si>
    <t>2019-FISMDF-0090-02062-016</t>
  </si>
  <si>
    <t>090</t>
  </si>
  <si>
    <t>Rehabilitación de la Red de Alcantarillado Sanitario C. Mariano Azuela entre Pastor Roualx y J. Isabel Robles Etapa 2</t>
  </si>
  <si>
    <t>100</t>
  </si>
  <si>
    <t>2019-FISMDF-0091-0411101-017</t>
  </si>
  <si>
    <t>091</t>
  </si>
  <si>
    <t>Construcción de Pavimento Hidraulico C. San Bernardo Tramo entre C. San Cosme y C. San Lucas Fracc. Los Pericos</t>
  </si>
  <si>
    <t>SEDESOM</t>
  </si>
  <si>
    <t>2019-FISMDF-0093-08302-019</t>
  </si>
  <si>
    <t>093</t>
  </si>
  <si>
    <t>Mi Hogar Corazón de Aguascalientes (Calentador Solar Fondo III) Todo el Municipio Aguascalientes</t>
  </si>
  <si>
    <t>PAQUETE</t>
  </si>
  <si>
    <t>1937</t>
  </si>
  <si>
    <t>2019-FISMDF-0085-1137-014</t>
  </si>
  <si>
    <t>085</t>
  </si>
  <si>
    <t>Gastos Indirectos 2019 (CAPAMA) Todo el Municipio</t>
  </si>
  <si>
    <t>SERVICIO</t>
  </si>
  <si>
    <t>877190</t>
  </si>
  <si>
    <t>2019-FISMDF-0092-1137-018</t>
  </si>
  <si>
    <t>092</t>
  </si>
  <si>
    <t xml:space="preserve">Gastos Indirectos 2019 (SEDESOM) Todo el Municipio </t>
  </si>
  <si>
    <t>PROYECTO</t>
  </si>
  <si>
    <t>5000</t>
  </si>
  <si>
    <t>TRANSPORTE MAQUINARIA Y CONSTRUCCIONES, S.A. DE C.V.</t>
  </si>
  <si>
    <t>DM-0010-2019</t>
  </si>
  <si>
    <t>DM-011-2019</t>
  </si>
  <si>
    <t>CONSTRUCTORA KANI, S.A. DE C.V.</t>
  </si>
  <si>
    <t>DM-0018-2019</t>
  </si>
  <si>
    <t>GRUPO CONSTRUCTOR KAFRAGS, S.A. DE C.V.</t>
  </si>
  <si>
    <t>DM-0023-2019</t>
  </si>
  <si>
    <t>CERICA CONSTRUCCIONES, S.A. DE C.V.</t>
  </si>
  <si>
    <t>DM-0024-2019</t>
  </si>
  <si>
    <t>EDGAR ALBERTO GOMEZ CANTU</t>
  </si>
  <si>
    <t>DM-025-2019</t>
  </si>
  <si>
    <t>JIVA CONSTRUCCIONES, S.A. DE C.V.</t>
  </si>
  <si>
    <t>DM-0026-2019</t>
  </si>
  <si>
    <t>SUBESTACION DEL CENTRO, S.A. DE C.V.</t>
  </si>
  <si>
    <t>DM-0030-2019</t>
  </si>
  <si>
    <t>DM-0031-2019</t>
  </si>
  <si>
    <t>INFRAESTRUCTURA NACIONAL CARRRETERA AGUASCALIENTES, S.A. DE C.V.</t>
  </si>
  <si>
    <t>DM-0032-2019</t>
  </si>
  <si>
    <t>GRUPO FUSION AGUASCALIENTES, S.A. DE C.V.</t>
  </si>
  <si>
    <t>DM-0035-2019</t>
  </si>
  <si>
    <t>JOSE DE JESUS RIVAS TORRES</t>
  </si>
  <si>
    <t>DM-0036-2019</t>
  </si>
  <si>
    <t>AZ SOLUCIONES CONSTRUCTIVAS, S.A. DE C.V.</t>
  </si>
  <si>
    <t>DM-0037-2019</t>
  </si>
  <si>
    <t>ACHER CONSTRUCCIONES Y ABAST. ELECTROMECANICOS, S.A. DE C.V.</t>
  </si>
  <si>
    <t>DM-0038-2019</t>
  </si>
  <si>
    <t>2019-PDM-0080-DM-05-014</t>
  </si>
  <si>
    <t>80</t>
  </si>
  <si>
    <t>Rehabilitación de Mercado Terán 2da. Etapa. Calle 5 de Mayo, entre Calle Unión  y Calle Arteaga, Centro Zona.</t>
  </si>
  <si>
    <t>2019-PDM-0088-ID-03-005</t>
  </si>
  <si>
    <t>88</t>
  </si>
  <si>
    <t>Rehabilitación de Alberca V.N.S.A., Instalaciones y Techumbre Av. Poliducto S/N, Fracc. Villas de Nuestra Señora de la Asunción.</t>
  </si>
  <si>
    <t>2019-PDM-0095-DM-05-019</t>
  </si>
  <si>
    <t>95</t>
  </si>
  <si>
    <t>Impermeabilización de Techumbre, centro de Atención Municipal. CAM Av. Adolfo López Mateos S/N, Obraje Col.</t>
  </si>
  <si>
    <t>2019-PDM-0096-DM-05-020</t>
  </si>
  <si>
    <t>96</t>
  </si>
  <si>
    <t>Aislante Termoacustico de Techumbre, centro de Atención Municipal CAM Av. Adolfo López Mateos S/N, Obraje Col.</t>
  </si>
  <si>
    <t>2019-PDM-0097-DM-05-021</t>
  </si>
  <si>
    <t>97</t>
  </si>
  <si>
    <t>Centro de Atención Municipal CAM, rehabilitación de de Nave Av. Adolfo López Mateos S/N, Obraje Col.</t>
  </si>
  <si>
    <t>2019-PDM-0098-DM-05-022</t>
  </si>
  <si>
    <t>98</t>
  </si>
  <si>
    <t>Centro de Atención Municipal CAM, Cuarto de Valores, Cisterna y Acabados.  Av. Adolfo López Mateos S/N, Obraje Col.</t>
  </si>
  <si>
    <t>2019-PDM-0099-DM-05-023</t>
  </si>
  <si>
    <t>99</t>
  </si>
  <si>
    <t>Centro de Atención Municipal CAM, Rehabilitación de Fachada Nor-Oriente.  Av. Adolfo López Mateos S/N, Obraje Col.</t>
  </si>
  <si>
    <t>2019-PDM-0100-DM-05-024</t>
  </si>
  <si>
    <t>Centro de Atención Municipal CAM, Acabados en Locales Comerciales  Av. Adolfo López Mateos S/N, Obraje Col.</t>
  </si>
  <si>
    <t>SILJA INGENIERIA, S.A. DE C.V.</t>
  </si>
  <si>
    <t>DM-0177-2018/2019</t>
  </si>
  <si>
    <r>
      <t xml:space="preserve">2018/2019-PDM-0258-003-DM-05-041 </t>
    </r>
    <r>
      <rPr>
        <b/>
        <sz val="11"/>
        <rFont val="Futura Bk BT"/>
      </rPr>
      <t>FINAL</t>
    </r>
  </si>
  <si>
    <t>Participantes</t>
  </si>
  <si>
    <t>Estatal</t>
  </si>
  <si>
    <t>2019-FORTAMUNDF-0087-DM-06-002</t>
  </si>
  <si>
    <t>Pago al Servicio de la Deuda 2019</t>
  </si>
  <si>
    <t>ZITUM DESARROLLADORES S.A. DE C.V.</t>
  </si>
  <si>
    <t>AD 022/2019</t>
  </si>
  <si>
    <t>VICENTE MUELA PARGA</t>
  </si>
  <si>
    <t>AD 024/2019</t>
  </si>
  <si>
    <t>ANEXO TECNICO</t>
  </si>
  <si>
    <t>001-A</t>
  </si>
  <si>
    <t>Prevención Social de Violencia y la Delincuencia con Participación Ciudadana</t>
  </si>
  <si>
    <t>002-A</t>
  </si>
  <si>
    <t>Fortalecimiento de las Capacicdades de Evaluación en Control de Confianza</t>
  </si>
  <si>
    <t>Elementos</t>
  </si>
  <si>
    <t>003-A</t>
  </si>
  <si>
    <t>Profesionalización de las Instituciones de Seguridad Pública</t>
  </si>
  <si>
    <t>Varias</t>
  </si>
  <si>
    <t>004-A</t>
  </si>
  <si>
    <t>Fortalecimiento de Programas Prioritarios Locales de las Intittuciones de Seguridad Pública de Impartició de Justicia</t>
  </si>
  <si>
    <t>Piezas</t>
  </si>
  <si>
    <t>005-A</t>
  </si>
  <si>
    <t>Red Nacional de Radiocomunicación</t>
  </si>
  <si>
    <t>Servicio</t>
  </si>
  <si>
    <t>varios</t>
  </si>
  <si>
    <t>007-A</t>
  </si>
  <si>
    <t>Restructuración y homologación salarial de los elementos policiales</t>
  </si>
  <si>
    <t>Proyecto</t>
  </si>
  <si>
    <t>-</t>
  </si>
  <si>
    <r>
      <t xml:space="preserve">DEPARTAMENTO DE CONTROL PRESUPUESTAL DE LA OBRA PUBLICA Y PROGRAMAS FEDERALES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color indexed="9"/>
        <rFont val="Calibri"/>
        <family val="2"/>
      </rPr>
      <t xml:space="preserve"> FORTASEG 2019</t>
    </r>
  </si>
  <si>
    <t>DEUDA PÚBLICA</t>
  </si>
  <si>
    <t>MULTICOMERCIALIZADORA ASTRAL S.A. DE C.V.</t>
  </si>
  <si>
    <t>AD 020/2019</t>
  </si>
  <si>
    <t>GOBIERNO DEL ESTADO DE AGUASCALIENTES SECRETARIA DE FINANZAS</t>
  </si>
  <si>
    <t>CONVENIO</t>
  </si>
  <si>
    <t>MAYO</t>
  </si>
  <si>
    <t>SER.PUB</t>
  </si>
  <si>
    <t>2019-FISMDF-0105-05203-021</t>
  </si>
  <si>
    <t>105</t>
  </si>
  <si>
    <t>Mejora de Alumbrado Público Col. Insurgentes Etapa 1 (Varias Calles) Col. Insurgentes Etapa 1</t>
  </si>
  <si>
    <t>2019-FISMDF-0106-05203-022</t>
  </si>
  <si>
    <t>106</t>
  </si>
  <si>
    <t>Mejora de Alumbrado Público Col. Insurgentes Etapa 1 (Varias Calles) Col. Insurgentes Etapa 2</t>
  </si>
  <si>
    <t>2019-FISMDF-0107-05203-023</t>
  </si>
  <si>
    <t>107</t>
  </si>
  <si>
    <t>Mejora de Alumbrado Público Col. Insurgentes Etapa 1 (Varias Calles) Col. Insurgentes Etapa 3</t>
  </si>
  <si>
    <t>2019-FISMDF-0108-05203-024</t>
  </si>
  <si>
    <t>108</t>
  </si>
  <si>
    <t>Mejora de Alumbrado Público Col. Insurgentes Etapa 1 (Varias Calles) Col. Insurgentes Etapa 4</t>
  </si>
  <si>
    <t>2019-FISMDF-0109-05203-025</t>
  </si>
  <si>
    <t>109</t>
  </si>
  <si>
    <t>Mejora de Alumbrado Público Col. Insurgentes Etapa 1 (Varias Calles) Col. Insurgentes Etapa 5</t>
  </si>
  <si>
    <t>2019-FISMDF-0110-05203-026</t>
  </si>
  <si>
    <t>Mejora de Alumbrado Público Col. Insurgentes Etapa 1 (Varias Calles) Col. Insurgentes Etapa 6</t>
  </si>
  <si>
    <t>CAPAMA</t>
  </si>
  <si>
    <t>2019-FISMDF-0111-02062-027</t>
  </si>
  <si>
    <t>111</t>
  </si>
  <si>
    <t>Rehabilitacion del Sistema de Alcantarillado Sanitario de la C. I.ndependencia entre la C. Revolución y el Arroyo San Francisco Col. Vicente Guerrero</t>
  </si>
  <si>
    <t>2019-FISMDF-0112-08303-028</t>
  </si>
  <si>
    <t>112</t>
  </si>
  <si>
    <t>Construcción de 40 Recamaras Adicionales Zona 01-PB Varios Puntos del Mpio. de Ags.</t>
  </si>
  <si>
    <t>2019-FISMDF-0113-08303-029</t>
  </si>
  <si>
    <t>113</t>
  </si>
  <si>
    <t>Construcción de 40 Recamaras Adicionales Zona 02-PB Varios Puntos del Mpio. de Ags.</t>
  </si>
  <si>
    <t>2019-FISMDF-0114-08303-030</t>
  </si>
  <si>
    <t>114</t>
  </si>
  <si>
    <t>Construcción de 40 Recamaras Adicionales Zona 03-PB Varios Puntos del Mpio. de Ags.</t>
  </si>
  <si>
    <t>2019-FISMDF-0115-08303-031</t>
  </si>
  <si>
    <t>115</t>
  </si>
  <si>
    <t>Construcción de 40 Recamaras Adicionales Zona 04-PB Varios Puntos del Mpio. de Ags.</t>
  </si>
  <si>
    <t>2019-FISMDF-0116-08303-032</t>
  </si>
  <si>
    <t>116</t>
  </si>
  <si>
    <t>Construcción de 41 Recamaras Adicionales Zona 05-PB Varios Puntos del Mpio. de Ags.</t>
  </si>
  <si>
    <t>2019-FISMDF-0117-0740215-033</t>
  </si>
  <si>
    <t>117</t>
  </si>
  <si>
    <t>Mejoramiento de la Escuela Secundaria Técnica N° 42 Nueva Creación C.Ismael Rodriguez Negrete N° 601 Real del Sol</t>
  </si>
  <si>
    <t>2019-FISMDF-0118-0740214-034</t>
  </si>
  <si>
    <t>118</t>
  </si>
  <si>
    <t>Mejoramiento de Escuela Primaria Miguel Angel Barberena Vega C. Trabajo N° 401 Solidaridad Fracc. 1a Secc.</t>
  </si>
  <si>
    <t>2019-FISMDF-0119-0740214-035</t>
  </si>
  <si>
    <t>119</t>
  </si>
  <si>
    <t>Mejoramiento de la Escuela Primaria Niños Heroes C. Belisario Dominguez C.Julian Medina Fracc. Insurgentes</t>
  </si>
  <si>
    <t>2019-FISMDF-0120-0740214-036</t>
  </si>
  <si>
    <t>120</t>
  </si>
  <si>
    <t>Mejoramiento de Escuela Primaria Mexico C. Coahuila N° 202 Fracc. Mexico</t>
  </si>
  <si>
    <t>2019-FISMDF-0121-0740214-037</t>
  </si>
  <si>
    <t>121</t>
  </si>
  <si>
    <t>Mejoramiento de Escuela Primaria Alberto Fuentes Davila C.Heroes de Chapultepec Ojo de Agua de Palmitas</t>
  </si>
  <si>
    <t>2019-FISMDF-0122-0740214-038</t>
  </si>
  <si>
    <t>122</t>
  </si>
  <si>
    <t>Mejoramiento de Escuela ETV N° 103 Jose Guadalupe Posada C. Cardenal N° 405 El Conejal</t>
  </si>
  <si>
    <t>2019-FISMDF-0123-0740214-039</t>
  </si>
  <si>
    <t>123</t>
  </si>
  <si>
    <t>Mejoramiento de Escuela Secundaria N° 35 Jaime Sabines Av. de la Salud Esq. Próceres de la Enseñanza J. Guadalupe Peralta</t>
  </si>
  <si>
    <t>2019-FISMDF-0124-0740214-040</t>
  </si>
  <si>
    <t>124</t>
  </si>
  <si>
    <t>Mejoramiento de Escuela Primaria Humberto Ramirez Diaz C.San Pedro Ojocaliente 3aSecc.</t>
  </si>
  <si>
    <t>100000</t>
  </si>
  <si>
    <t>VIVIENDA</t>
  </si>
  <si>
    <t>39</t>
  </si>
  <si>
    <t>427</t>
  </si>
  <si>
    <t>230</t>
  </si>
  <si>
    <t>548</t>
  </si>
  <si>
    <t>85</t>
  </si>
  <si>
    <t>1139</t>
  </si>
  <si>
    <t>INV.RESTRINGIDA</t>
  </si>
  <si>
    <t>JOSE ASUNCION ORTIZ GAMEZ</t>
  </si>
  <si>
    <t>FISMDF-0081-2019</t>
  </si>
  <si>
    <t>FISMDF-0082-2019</t>
  </si>
  <si>
    <t>FISMDF-0083-2019</t>
  </si>
  <si>
    <t>FISMDF-0084-2019</t>
  </si>
  <si>
    <t>2019-PDM-0065-EA-01-003</t>
  </si>
  <si>
    <t>65</t>
  </si>
  <si>
    <t xml:space="preserve">Instalación de Reflectores en el Tunel de la Avenida Adolfo Lopez Mateos, Entre Topete del Valle y Pedro de Alba, Zona Centro. </t>
  </si>
  <si>
    <t>PIEZAS</t>
  </si>
  <si>
    <t>2019-PDM-0070-DM-05-016</t>
  </si>
  <si>
    <t>70</t>
  </si>
  <si>
    <t>Ampliación de la 2a. Etapa del Panteón Municipal el Refugio. Av. Siglo XXI Sur S/N, Ciudad de Aguascalientes.</t>
  </si>
  <si>
    <t>2019-PDM-0094-DM-05-017</t>
  </si>
  <si>
    <t>94</t>
  </si>
  <si>
    <t>Rehabilitación de Rastro Municipal. Carretera Aguascalientes-San Francisco de los Romo KM21</t>
  </si>
  <si>
    <t>2019-PDM-0101-UR-01-034</t>
  </si>
  <si>
    <t>101</t>
  </si>
  <si>
    <t>Construcción de Sobrecarpeta Asfáltica, Calle 5 de Mayo. Tramo: Entre Salida de Paso a Desnivel y Calle Ignacio Zaragoza Aguascalientes Mpio.</t>
  </si>
  <si>
    <t>2019-PDM-0102-DM-05-025</t>
  </si>
  <si>
    <t>102</t>
  </si>
  <si>
    <t>Centro de Atención Municipal CAM, Ventilación Industrial. Av. Adolfo López Mateos S/N, Obraje Col.</t>
  </si>
  <si>
    <t>DM-102-2019</t>
  </si>
  <si>
    <t>PROGRAMA DE APÓYO A COMUNIDADES PARA LA RESTAURACION DE MONUMENTOS Y BIENES ARTÍSTICOS PROPIEDAD FEDERAL</t>
  </si>
  <si>
    <t>Prog.</t>
  </si>
  <si>
    <t>2019-FOREMOBA-0104-SS-02-01</t>
  </si>
  <si>
    <t>04</t>
  </si>
  <si>
    <t>104</t>
  </si>
  <si>
    <t>Templo Expiatorio del Ave Maria C. Galeana Norte 104 Zona Centro</t>
  </si>
  <si>
    <t>797010</t>
  </si>
  <si>
    <t xml:space="preserve"> (FOREMOBA 2018-2019)</t>
  </si>
  <si>
    <t>2019-PDM-0003-003-DM-01-001</t>
  </si>
  <si>
    <t>2019-PDM-0040-002-DM-06-008</t>
  </si>
  <si>
    <t>2019-PDM-0041-002-DM-05-009</t>
  </si>
  <si>
    <t>2019-PDM-0042-002-DM-06-010</t>
  </si>
  <si>
    <t>2019-PDM-0043-002-DM-06-011</t>
  </si>
  <si>
    <t>2019-PDM-0044-001-DM-05-012</t>
  </si>
  <si>
    <t>2019-PDM-0045-002-IE-03-001</t>
  </si>
  <si>
    <t>2019-PDM-0046-004-UR-05-022</t>
  </si>
  <si>
    <t>2019-PDM-0047-002-UR-05-023</t>
  </si>
  <si>
    <t>2019-PDM-0048-003-DM-06-013</t>
  </si>
  <si>
    <t>RAFAEL MARTINEZ DELGADO</t>
  </si>
  <si>
    <t>DM-055-2019</t>
  </si>
  <si>
    <t>JAIME ALEJANDRO SALAZAR ROMERO</t>
  </si>
  <si>
    <t>DM-0056-2019</t>
  </si>
  <si>
    <t>O.L. DISEÑO Y URBANIZACION, S.A. DE C.V.</t>
  </si>
  <si>
    <t>DM-0057-2019</t>
  </si>
  <si>
    <t>JORGE MARCOS MIRANDA</t>
  </si>
  <si>
    <t>DM-0060-2019</t>
  </si>
  <si>
    <t>COTECO, S.A. DE C.V.</t>
  </si>
  <si>
    <t>DM-0080-2019</t>
  </si>
  <si>
    <t>HDI ARQUITECTURA Y CONSTRUCCION S.A. DE C.V.</t>
  </si>
  <si>
    <t>DM-0088-2019</t>
  </si>
  <si>
    <t>DM-0095-2019</t>
  </si>
  <si>
    <t>INGENIERIA Y ARQUITECTURA H3, .A. DE C.V.</t>
  </si>
  <si>
    <t>DM-0096-2019</t>
  </si>
  <si>
    <t>DM-0097-2019</t>
  </si>
  <si>
    <t>JULIO CESAR BADILLO</t>
  </si>
  <si>
    <t>DM-099-2019</t>
  </si>
  <si>
    <t>DM-100-2019</t>
  </si>
  <si>
    <r>
      <t xml:space="preserve">2018/2019-PDM-0209-003-ID-03-013 </t>
    </r>
    <r>
      <rPr>
        <b/>
        <sz val="11"/>
        <rFont val="Futura Bk BT"/>
      </rPr>
      <t>FINAL</t>
    </r>
  </si>
  <si>
    <r>
      <t xml:space="preserve">2018/2019-PDM-0251-003-DM-05-036 </t>
    </r>
    <r>
      <rPr>
        <b/>
        <sz val="11"/>
        <rFont val="Futura Bk BT"/>
      </rPr>
      <t>FINAL</t>
    </r>
  </si>
  <si>
    <t>2018/2019-PDM-0254-003-DM-05-038 FINAL</t>
  </si>
  <si>
    <t>JUNIO</t>
  </si>
  <si>
    <r>
      <t xml:space="preserve">2019-PDM-0007-001-UR-01-004 </t>
    </r>
    <r>
      <rPr>
        <b/>
        <sz val="11"/>
        <rFont val="Futura Bk BT"/>
      </rPr>
      <t>FINAL</t>
    </r>
  </si>
  <si>
    <r>
      <t xml:space="preserve">2019-PDM-0008-001-UR-01-005 </t>
    </r>
    <r>
      <rPr>
        <b/>
        <sz val="11"/>
        <rFont val="Futura Bk BT"/>
      </rPr>
      <t>FINAL</t>
    </r>
  </si>
  <si>
    <r>
      <t xml:space="preserve">2019-PDM-0009-001-UR-01-006 </t>
    </r>
    <r>
      <rPr>
        <b/>
        <sz val="11"/>
        <rFont val="Futura Bk BT"/>
      </rPr>
      <t>FINAL</t>
    </r>
  </si>
  <si>
    <r>
      <t xml:space="preserve">2019-PDM-0038-001-EA-01-001 </t>
    </r>
    <r>
      <rPr>
        <b/>
        <sz val="11"/>
        <rFont val="Futura Bk BT"/>
      </rPr>
      <t>FINAL</t>
    </r>
  </si>
  <si>
    <t>DM-0098-2019</t>
  </si>
  <si>
    <t>DM-0101-2019</t>
  </si>
  <si>
    <t>2019-PDM-0148-DM-05-026</t>
  </si>
  <si>
    <t>148</t>
  </si>
  <si>
    <t>Estancia Protectora de Menores de la Dirección de Justicia Municipal. Instalaciones C-4, Aguascalientes Mpio.</t>
  </si>
  <si>
    <t>2019-PDM-0149-ID-03-006</t>
  </si>
  <si>
    <t>149</t>
  </si>
  <si>
    <t>Rehabilitación de la Alberca V.N.S.A. Reparaciones y Acabados. Av. Poliducto S/N. Fracc. Villa de Nuestra Señora de la Asunción, Aguascalientes.</t>
  </si>
  <si>
    <r>
      <t xml:space="preserve">2018/2019-PDM-0250-003-DM-05-035 </t>
    </r>
    <r>
      <rPr>
        <b/>
        <sz val="11"/>
        <rFont val="Futura Bk BT"/>
      </rPr>
      <t>FINAL</t>
    </r>
  </si>
  <si>
    <t>|</t>
  </si>
  <si>
    <t>CONVOCATORIA PUBLICA</t>
  </si>
  <si>
    <t>FISMDF-CAP-05-2019</t>
  </si>
  <si>
    <t>JORGE MIRANDA GALLARDO</t>
  </si>
  <si>
    <t>FISMDF-CAP-03-2019</t>
  </si>
  <si>
    <t>02</t>
  </si>
  <si>
    <t>ZIRAHUEN PLANEACION S.A. DE C.V.</t>
  </si>
  <si>
    <t>FISMDF-CAP-04-2019</t>
  </si>
  <si>
    <t>06</t>
  </si>
  <si>
    <t>ADJUDICACION DIRECTA</t>
  </si>
  <si>
    <t>JOSMAR CONSTRUCCIONES S.A. DE C.V.</t>
  </si>
  <si>
    <t>FISMDF-CAP-01-2019</t>
  </si>
  <si>
    <t>CONSORCIO INDUSTRIAL INTERNACIONA AIRE S.A. DE C.V.</t>
  </si>
  <si>
    <t>CONSTRUCCIONES EK3 S.A. DE C.V.</t>
  </si>
  <si>
    <t>L.V. CONSTRUCCION S.A. DE C.V.</t>
  </si>
  <si>
    <t>FISMDF-CAP-06-2019</t>
  </si>
  <si>
    <t>O L DISEÑO Y URBANIZACION S.A. DE C.V.</t>
  </si>
  <si>
    <t>FISMDF-CAP-02-2019</t>
  </si>
  <si>
    <t>INVITACION RESTRINJIDA</t>
  </si>
  <si>
    <t>RODERIK PALACIOS</t>
  </si>
  <si>
    <t>FISMDF-091-2019</t>
  </si>
  <si>
    <t>FRADAG CONSTRUCCIONES S.A. DE C.V.</t>
  </si>
  <si>
    <t>FISMDF-CAP-07-2019</t>
  </si>
  <si>
    <t>FISMDF-0112-2019</t>
  </si>
  <si>
    <t>JOSE PADILLA GONZALEZ</t>
  </si>
  <si>
    <t>FISMDF-0117-2019</t>
  </si>
  <si>
    <t>SINERGIA PROYECTOS Y CONSTRUCCIONES S.A. DE C.V.</t>
  </si>
  <si>
    <t>FISMDF-0119-2019</t>
  </si>
  <si>
    <t>IGNACIO JIMENEZ ARMAS</t>
  </si>
  <si>
    <t>FISMDF-0120-2019</t>
  </si>
  <si>
    <t>GRUPO CONSTRUCTOR INTERNACIONAL DEL CENTRO S.A. DE C.V.</t>
  </si>
  <si>
    <t>FISMDF-0122-2019</t>
  </si>
  <si>
    <t>CONSTRUCCIONES INGENIERA ELECTRICA OLVERA S.A. DE C.V.</t>
  </si>
  <si>
    <t>FISMDF-0123-2019</t>
  </si>
  <si>
    <t>2019-FISMDF-0125-0740215-041</t>
  </si>
  <si>
    <t>125</t>
  </si>
  <si>
    <t>Mejoramiento de Centro de Atención Multiple IV C. Vidrieros Fracc. Municipio Libre</t>
  </si>
  <si>
    <t>160</t>
  </si>
  <si>
    <t>2019-FISMDF-0126-0740214-042</t>
  </si>
  <si>
    <t>126</t>
  </si>
  <si>
    <t>Mejoramiento de Escuela Primaria Plan de Iguala C. Pozo de la Cruz N° 125 Fracc. Pozo Bravo</t>
  </si>
  <si>
    <t>590</t>
  </si>
  <si>
    <t>2019-FISMDF-0127-0411101-043</t>
  </si>
  <si>
    <t>127</t>
  </si>
  <si>
    <t>Pavimento Hidraulico C. Edmundo Gámez Orozco Tramo entre Prol. Edmundo Gámez Orozco y C. Reforma Com. Cañada Honda</t>
  </si>
  <si>
    <t>300</t>
  </si>
  <si>
    <t>2019-FISMDF-0128-0411101-044</t>
  </si>
  <si>
    <t>128</t>
  </si>
  <si>
    <t>Pavimento Hidraulico C. Reforma Tramo Entre C. Edmundo Gámez Orozco y C. Independencia Com. Cañada Honda</t>
  </si>
  <si>
    <t>2019-FISMDF-0129-0411101-045</t>
  </si>
  <si>
    <t>129</t>
  </si>
  <si>
    <t>Pavimento Hidraulico C. Clavel Tramo entre L 3 M10 y C. Nardo Ej. Norias de Paso Hondo</t>
  </si>
  <si>
    <t>450</t>
  </si>
  <si>
    <t>2019-FISMDF-0131-0411101-046</t>
  </si>
  <si>
    <t>131</t>
  </si>
  <si>
    <t>Pavimento Hidraulico C. Nardo Tramo entre Antigua Carretera a S.L.P. y C. Clavel Ej. Norias de Paso Hondo</t>
  </si>
  <si>
    <t>2019-FISMDF-0132-0740215-047</t>
  </si>
  <si>
    <t>132</t>
  </si>
  <si>
    <t>Mejoramiento de Escuela Secundaria General N° 34 Mahatma Gandhi C. Fernan Glez. de Eslava Esq. Con Av.Jose de Jesus Gonzalez Garcia Villa de Nuestra Señora de la Asunción Sector Guadaluipe 1a Sección</t>
  </si>
  <si>
    <t>1268</t>
  </si>
  <si>
    <t>2019-FISMDF-0133-0740215-048</t>
  </si>
  <si>
    <t>133</t>
  </si>
  <si>
    <t>Mejoramiento de Escuela Secundaria Técnica N° 32 Francisco Aguayo Mora C.Chichen-Itza N° 1101 Fracc. Morelos 1a. Secc.</t>
  </si>
  <si>
    <t>1220</t>
  </si>
  <si>
    <t>2019-FISMDF-0134-0411101-049</t>
  </si>
  <si>
    <t>134</t>
  </si>
  <si>
    <t>Pavimento Hidraulico C.Manuel J. Clouthier Tramo entre C.Sor Juana Ines de la Cruz y C. 20 de Noviembre Com. Jaltomate</t>
  </si>
  <si>
    <t>2019-FISMDF-0135-0411101-050</t>
  </si>
  <si>
    <t>135</t>
  </si>
  <si>
    <t>Pavimento Hidraulico C. Sor Juane Ines de la Cruz Tramo entre C. Adolfo Lopez Mateos y C. Manuel J. Clouthier Com. Jaltomate</t>
  </si>
  <si>
    <t>2019-FISMDF-0136-08303-051</t>
  </si>
  <si>
    <t>136</t>
  </si>
  <si>
    <t>Construcción de 40 Recamaras Adicionales Planta Alta Zona 01-PA Varios Puntos del Muincipio de Aguascalientes</t>
  </si>
  <si>
    <t>2019-FISMDF-0137-08303-052</t>
  </si>
  <si>
    <t>137</t>
  </si>
  <si>
    <t>Construcción de 37 Recamaras Adicionales Planta Alta 02-PA Varios Puntos del Municipio de Aguascalientes</t>
  </si>
  <si>
    <t>2019-FISMDF-0138-08303-053</t>
  </si>
  <si>
    <t>138</t>
  </si>
  <si>
    <t>Construcción de 31 Recamaras Adicionales Planta Alta Zona 03-PA Varios Puntos del Municipio de Aguascalientes</t>
  </si>
  <si>
    <t>2019-FISMDF-0139-08303-054</t>
  </si>
  <si>
    <t>139</t>
  </si>
  <si>
    <t>Construcción de 29 Recamaras Adicionales Planta Alta Zona 04-PA Varios Puntos del Municipio de Aguascalientes</t>
  </si>
  <si>
    <t>2019-FISMDF-0140-08303-055</t>
  </si>
  <si>
    <t>140</t>
  </si>
  <si>
    <t>Construción de 39 Recamaras Adicionales Planta Alta Zona 05- PA Varios Puntos del Mnuncipio de Aguascalientes</t>
  </si>
  <si>
    <t>2019-FISMDF-0141-08303-056</t>
  </si>
  <si>
    <t>141</t>
  </si>
  <si>
    <t>Construcción de 27 Recamaras Adicionales Planta Alta Zona 06/07-PA Varios Puntos del Municipio de Aguascalientes</t>
  </si>
  <si>
    <t>2019-FISMDF-0144-08303-057</t>
  </si>
  <si>
    <t>144</t>
  </si>
  <si>
    <t>Construcción de 33 Recamaras Adicionales Planta Alta Zona 08-PA Varios Puntos del Municipio de Aguascalientes</t>
  </si>
  <si>
    <t>2019-FISMDF-0145-08303-058</t>
  </si>
  <si>
    <t>145</t>
  </si>
  <si>
    <t>Construcción de 16 Recamaras Adicionales Planta Alta Zona 09-PA Varios Puntos del Municipio Aguascalientes</t>
  </si>
  <si>
    <t>2019-FISMDF-0146-08303-059</t>
  </si>
  <si>
    <t>146</t>
  </si>
  <si>
    <t>Construcción de 69 Techos Firmes ( Promedio 20 M2) Zona 01-TF Varios Puntos del Municipio de Aguascalientes</t>
  </si>
  <si>
    <t>69</t>
  </si>
  <si>
    <t>2019-FISMDF-0147-08303-060</t>
  </si>
  <si>
    <t>147</t>
  </si>
  <si>
    <t>Construcción de 30 Baños Adicionales Zona 01-BA Varios Puntos del Municipio de Aguascalientes</t>
  </si>
  <si>
    <t>01</t>
  </si>
  <si>
    <t>LICITACION PUBLICA</t>
  </si>
  <si>
    <t>ADE-050-2019</t>
  </si>
  <si>
    <r>
      <t xml:space="preserve">NOTA: </t>
    </r>
    <r>
      <rPr>
        <sz val="12"/>
        <color theme="1"/>
        <rFont val="Futura Bk BT"/>
      </rPr>
      <t>EL IMPORTE EJERCIDO DE OBRA PÚBLICA EN EL</t>
    </r>
    <r>
      <rPr>
        <u/>
        <sz val="12"/>
        <color theme="1"/>
        <rFont val="Futura Bk BT"/>
      </rPr>
      <t xml:space="preserve"> DIRECTO MUNICIPAL</t>
    </r>
    <r>
      <rPr>
        <sz val="12"/>
        <color theme="1"/>
        <rFont val="Futura Bk BT"/>
      </rPr>
      <t xml:space="preserve">  INCLUYE  $ 118,820.62 POR CONCEPTO DE</t>
    </r>
    <r>
      <rPr>
        <b/>
        <sz val="12"/>
        <color theme="1"/>
        <rFont val="Futura Bk BT"/>
      </rPr>
      <t xml:space="preserve"> FINIQUITOS</t>
    </r>
    <r>
      <rPr>
        <sz val="12"/>
        <color theme="1"/>
        <rFont val="Futura Bk BT"/>
      </rPr>
      <t xml:space="preserve">  Y EL IMPORTE EJERCIDO DE OBRA PÚBLICA EN EL </t>
    </r>
    <r>
      <rPr>
        <b/>
        <sz val="12"/>
        <color theme="1"/>
        <rFont val="Futura Bk BT"/>
      </rPr>
      <t>FISMDF</t>
    </r>
    <r>
      <rPr>
        <u/>
        <sz val="12"/>
        <color theme="1"/>
        <rFont val="Futura Bk BT"/>
      </rPr>
      <t xml:space="preserve"> </t>
    </r>
    <r>
      <rPr>
        <sz val="12"/>
        <color theme="1"/>
        <rFont val="Futura Bk BT"/>
      </rPr>
      <t xml:space="preserve"> INCLUYE  $ 308,485.00 POR CONCEPTO DE </t>
    </r>
    <r>
      <rPr>
        <b/>
        <sz val="12"/>
        <color theme="1"/>
        <rFont val="Futura Bk BT"/>
      </rPr>
      <t>HONORARIOS.</t>
    </r>
  </si>
  <si>
    <t>Total Municipal</t>
  </si>
  <si>
    <t>Total Federal</t>
  </si>
  <si>
    <r>
      <t xml:space="preserve">SECRETARÍA DE FINANZAS PÚBLICAS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20"/>
        <color indexed="9"/>
        <rFont val="Calibri Light"/>
        <family val="2"/>
        <scheme val="major"/>
      </rPr>
      <t>Departamento de Control Presupuestal de la Obra Pública y Programas Federales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</si>
</sst>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  <numFmt numFmtId="166" formatCode="#,##0.000"/>
    <numFmt numFmtId="167" formatCode="#,##0_ ;[Red]\-#,##0\ "/>
    <numFmt numFmtId="168" formatCode="#,##0.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9"/>
      <name val="Futura LtCn BT"/>
      <family val="2"/>
    </font>
    <font>
      <b/>
      <sz val="10"/>
      <color theme="0"/>
      <name val="Comic Sans MS"/>
      <family val="4"/>
    </font>
    <font>
      <b/>
      <sz val="14"/>
      <color indexed="9"/>
      <name val="Calibri"/>
      <family val="2"/>
    </font>
    <font>
      <sz val="10"/>
      <name val="Comic Sans MS"/>
      <family val="4"/>
    </font>
    <font>
      <sz val="11"/>
      <color theme="1"/>
      <name val="Futura Bk BT"/>
    </font>
    <font>
      <b/>
      <sz val="11"/>
      <color theme="1"/>
      <name val="Futura Bk BT"/>
    </font>
    <font>
      <b/>
      <sz val="10"/>
      <color theme="1"/>
      <name val="Futura Bk BT"/>
    </font>
    <font>
      <sz val="8"/>
      <name val="Futura Bk BT"/>
    </font>
    <font>
      <sz val="8"/>
      <name val="Comic Sans MS"/>
      <family val="4"/>
    </font>
    <font>
      <sz val="14"/>
      <color indexed="9"/>
      <name val="Calibri"/>
      <family val="2"/>
    </font>
    <font>
      <b/>
      <sz val="18"/>
      <color indexed="9"/>
      <name val="Calibri"/>
      <family val="2"/>
    </font>
    <font>
      <b/>
      <sz val="12"/>
      <color theme="1"/>
      <name val="Futura Bk BT"/>
    </font>
    <font>
      <sz val="14"/>
      <color theme="1"/>
      <name val="Calibri"/>
      <family val="2"/>
      <scheme val="minor"/>
    </font>
    <font>
      <sz val="16"/>
      <color theme="1"/>
      <name val="Futura Bk BT"/>
    </font>
    <font>
      <b/>
      <sz val="20"/>
      <color indexed="9"/>
      <name val="Calibri Light"/>
      <family val="2"/>
      <scheme val="major"/>
    </font>
    <font>
      <b/>
      <sz val="20"/>
      <color theme="0"/>
      <name val="Calibri Light"/>
      <family val="2"/>
      <scheme val="major"/>
    </font>
    <font>
      <sz val="11"/>
      <name val="Futura Bk BT"/>
      <family val="2"/>
    </font>
    <font>
      <b/>
      <sz val="18"/>
      <color theme="0"/>
      <name val="Calibri"/>
      <family val="2"/>
      <scheme val="minor"/>
    </font>
    <font>
      <sz val="12"/>
      <color theme="1"/>
      <name val="Futura Bk BT"/>
    </font>
    <font>
      <sz val="18"/>
      <color theme="1"/>
      <name val="Futura Bk BT"/>
    </font>
    <font>
      <b/>
      <sz val="18"/>
      <color theme="1"/>
      <name val="Futura Bk BT"/>
    </font>
    <font>
      <b/>
      <sz val="18"/>
      <name val="Futura Bk BT"/>
    </font>
    <font>
      <b/>
      <sz val="18"/>
      <color theme="1"/>
      <name val="Calibri"/>
      <family val="2"/>
      <scheme val="minor"/>
    </font>
    <font>
      <b/>
      <sz val="16"/>
      <color theme="1"/>
      <name val="Futura Bk BT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0"/>
      <color theme="1"/>
      <name val="Futura Bk BT"/>
    </font>
    <font>
      <b/>
      <sz val="16"/>
      <color theme="0"/>
      <name val="Calibri"/>
      <family val="2"/>
      <scheme val="minor"/>
    </font>
    <font>
      <b/>
      <sz val="16"/>
      <color indexed="9"/>
      <name val="Calibri"/>
      <family val="2"/>
    </font>
    <font>
      <sz val="11"/>
      <color indexed="9"/>
      <name val="Calibri"/>
      <family val="2"/>
    </font>
    <font>
      <b/>
      <sz val="11"/>
      <name val="Futura Bk BT"/>
      <family val="2"/>
    </font>
    <font>
      <sz val="11"/>
      <name val="Futura Hv BT"/>
      <family val="2"/>
    </font>
    <font>
      <b/>
      <i/>
      <sz val="11"/>
      <color indexed="9"/>
      <name val="Futura Hv BT"/>
      <family val="2"/>
    </font>
    <font>
      <b/>
      <sz val="11"/>
      <name val="Futura BdCn BT"/>
      <family val="2"/>
    </font>
    <font>
      <b/>
      <sz val="11"/>
      <name val="Futura BdCn BT"/>
    </font>
    <font>
      <sz val="11"/>
      <name val="NewsGoth"/>
      <family val="2"/>
    </font>
    <font>
      <b/>
      <i/>
      <sz val="11"/>
      <name val="Futura Bk BT"/>
      <family val="2"/>
    </font>
    <font>
      <sz val="11"/>
      <name val="NewsGoth"/>
    </font>
    <font>
      <sz val="8"/>
      <color theme="1"/>
      <name val="Calibri"/>
      <family val="2"/>
      <scheme val="minor"/>
    </font>
    <font>
      <sz val="11"/>
      <color theme="1"/>
      <name val="Futura BdCn BT"/>
    </font>
    <font>
      <b/>
      <sz val="11"/>
      <name val="Futura Bk BT"/>
    </font>
    <font>
      <b/>
      <sz val="16"/>
      <color theme="0"/>
      <name val="Calibri"/>
      <family val="2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NewsGoth"/>
      <family val="2"/>
    </font>
    <font>
      <b/>
      <i/>
      <sz val="12"/>
      <color indexed="9"/>
      <name val="Futura Hv BT"/>
      <family val="2"/>
    </font>
    <font>
      <b/>
      <sz val="8"/>
      <name val="Futura Hv BT"/>
      <family val="2"/>
    </font>
    <font>
      <b/>
      <sz val="10"/>
      <name val="Futura BdCn BT"/>
      <family val="2"/>
    </font>
    <font>
      <b/>
      <sz val="10"/>
      <name val="Futura Bk BT"/>
    </font>
    <font>
      <b/>
      <sz val="10"/>
      <name val="Futura Bk BT"/>
      <family val="2"/>
    </font>
    <font>
      <sz val="10"/>
      <name val="Futura Bk BT"/>
      <family val="2"/>
    </font>
    <font>
      <sz val="10"/>
      <color theme="1"/>
      <name val="Calibri"/>
      <family val="2"/>
      <scheme val="minor"/>
    </font>
    <font>
      <b/>
      <i/>
      <sz val="10"/>
      <name val="Futura Bk BT"/>
      <family val="2"/>
    </font>
    <font>
      <sz val="10"/>
      <name val="Futura Hv BT"/>
      <family val="2"/>
    </font>
    <font>
      <sz val="8"/>
      <name val="Futura Hv BT"/>
      <family val="2"/>
    </font>
    <font>
      <sz val="10"/>
      <name val="Futura BdCn BT"/>
      <family val="2"/>
    </font>
    <font>
      <sz val="8"/>
      <name val="Futura Bk BT"/>
      <family val="2"/>
    </font>
    <font>
      <sz val="8"/>
      <name val="NewsGoth"/>
      <family val="2"/>
    </font>
    <font>
      <sz val="11"/>
      <name val="Futura BdCn BT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Futura Hv BT"/>
    </font>
    <font>
      <u/>
      <sz val="12"/>
      <color theme="1"/>
      <name val="Futura Bk BT"/>
    </font>
    <font>
      <sz val="20"/>
      <color indexed="9"/>
      <name val="Calibri Light"/>
      <family val="2"/>
      <scheme val="major"/>
    </font>
  </fonts>
  <fills count="1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ck">
        <color indexed="9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double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2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  <xf numFmtId="43" fontId="0" fillId="0" borderId="0" xfId="1" applyFont="1" applyAlignment="1">
      <alignment horizontal="center" vertical="center"/>
    </xf>
    <xf numFmtId="44" fontId="4" fillId="0" borderId="0" xfId="2" applyFont="1" applyFill="1" applyAlignment="1">
      <alignment horizontal="center" vertical="center"/>
    </xf>
    <xf numFmtId="43" fontId="0" fillId="4" borderId="0" xfId="1" applyFont="1" applyFill="1" applyAlignment="1">
      <alignment horizontal="center" vertical="center"/>
    </xf>
    <xf numFmtId="0" fontId="0" fillId="4" borderId="0" xfId="0" applyFill="1"/>
    <xf numFmtId="43" fontId="4" fillId="4" borderId="0" xfId="1" applyFont="1" applyFill="1" applyAlignment="1">
      <alignment horizontal="center" vertical="center"/>
    </xf>
    <xf numFmtId="44" fontId="0" fillId="0" borderId="0" xfId="2" applyFont="1" applyFill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43" fontId="0" fillId="0" borderId="0" xfId="0" applyNumberFormat="1"/>
    <xf numFmtId="0" fontId="8" fillId="0" borderId="0" xfId="0" applyFont="1" applyAlignment="1">
      <alignment horizontal="center"/>
    </xf>
    <xf numFmtId="164" fontId="8" fillId="0" borderId="0" xfId="1" applyNumberFormat="1" applyFont="1" applyAlignment="1">
      <alignment horizontal="center"/>
    </xf>
    <xf numFmtId="0" fontId="7" fillId="0" borderId="0" xfId="0" applyFont="1"/>
    <xf numFmtId="43" fontId="7" fillId="0" borderId="0" xfId="1" applyFont="1"/>
    <xf numFmtId="43" fontId="7" fillId="0" borderId="0" xfId="0" applyNumberFormat="1" applyFont="1"/>
    <xf numFmtId="0" fontId="10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43" fontId="9" fillId="0" borderId="0" xfId="1" applyFont="1" applyAlignment="1"/>
    <xf numFmtId="43" fontId="9" fillId="0" borderId="0" xfId="1" applyFont="1" applyAlignment="1">
      <alignment wrapText="1"/>
    </xf>
    <xf numFmtId="3" fontId="0" fillId="0" borderId="0" xfId="0" applyNumberFormat="1"/>
    <xf numFmtId="0" fontId="15" fillId="0" borderId="0" xfId="0" applyFont="1" applyFill="1"/>
    <xf numFmtId="0" fontId="15" fillId="0" borderId="0" xfId="0" applyFont="1" applyAlignment="1">
      <alignment horizontal="center"/>
    </xf>
    <xf numFmtId="43" fontId="15" fillId="0" borderId="0" xfId="1" applyFont="1" applyFill="1"/>
    <xf numFmtId="43" fontId="15" fillId="0" borderId="0" xfId="0" applyNumberFormat="1" applyFont="1" applyFill="1"/>
    <xf numFmtId="0" fontId="15" fillId="0" borderId="0" xfId="0" applyFont="1"/>
    <xf numFmtId="0" fontId="0" fillId="0" borderId="0" xfId="0" applyFont="1" applyFill="1"/>
    <xf numFmtId="0" fontId="0" fillId="0" borderId="0" xfId="0" applyFont="1"/>
    <xf numFmtId="0" fontId="16" fillId="0" borderId="0" xfId="0" applyFont="1"/>
    <xf numFmtId="43" fontId="16" fillId="0" borderId="0" xfId="1" applyFont="1"/>
    <xf numFmtId="165" fontId="15" fillId="0" borderId="0" xfId="2" applyNumberFormat="1" applyFont="1" applyBorder="1" applyAlignment="1"/>
    <xf numFmtId="0" fontId="15" fillId="0" borderId="0" xfId="0" applyFont="1" applyAlignment="1"/>
    <xf numFmtId="43" fontId="0" fillId="0" borderId="0" xfId="1" applyFont="1" applyFill="1"/>
    <xf numFmtId="43" fontId="2" fillId="0" borderId="0" xfId="1" applyFont="1" applyFill="1" applyAlignment="1">
      <alignment horizontal="center"/>
    </xf>
    <xf numFmtId="165" fontId="15" fillId="0" borderId="31" xfId="2" applyNumberFormat="1" applyFont="1" applyBorder="1" applyAlignment="1"/>
    <xf numFmtId="165" fontId="15" fillId="0" borderId="32" xfId="2" applyNumberFormat="1" applyFont="1" applyBorder="1" applyAlignment="1"/>
    <xf numFmtId="165" fontId="15" fillId="0" borderId="36" xfId="2" applyNumberFormat="1" applyFont="1" applyBorder="1" applyAlignment="1"/>
    <xf numFmtId="165" fontId="15" fillId="0" borderId="21" xfId="2" applyNumberFormat="1" applyFont="1" applyBorder="1" applyAlignment="1"/>
    <xf numFmtId="165" fontId="15" fillId="0" borderId="27" xfId="2" applyNumberFormat="1" applyFont="1" applyBorder="1" applyAlignment="1"/>
    <xf numFmtId="0" fontId="3" fillId="0" borderId="0" xfId="0" applyFont="1" applyFill="1" applyAlignment="1">
      <alignment vertical="center"/>
    </xf>
    <xf numFmtId="49" fontId="2" fillId="0" borderId="0" xfId="0" applyNumberFormat="1" applyFont="1" applyFill="1" applyAlignment="1"/>
    <xf numFmtId="3" fontId="22" fillId="0" borderId="18" xfId="1" applyNumberFormat="1" applyFont="1" applyFill="1" applyBorder="1" applyAlignment="1">
      <alignment vertical="center"/>
    </xf>
    <xf numFmtId="0" fontId="23" fillId="7" borderId="4" xfId="0" applyFont="1" applyFill="1" applyBorder="1" applyAlignment="1">
      <alignment horizontal="center" vertical="center"/>
    </xf>
    <xf numFmtId="43" fontId="23" fillId="8" borderId="4" xfId="1" applyFont="1" applyFill="1" applyBorder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" fontId="23" fillId="0" borderId="37" xfId="1" applyNumberFormat="1" applyFont="1" applyFill="1" applyBorder="1"/>
    <xf numFmtId="3" fontId="23" fillId="0" borderId="37" xfId="1" applyNumberFormat="1" applyFont="1" applyBorder="1"/>
    <xf numFmtId="0" fontId="22" fillId="0" borderId="19" xfId="0" applyFont="1" applyFill="1" applyBorder="1" applyAlignment="1">
      <alignment vertical="center"/>
    </xf>
    <xf numFmtId="3" fontId="22" fillId="0" borderId="20" xfId="1" applyNumberFormat="1" applyFont="1" applyFill="1" applyBorder="1" applyAlignment="1">
      <alignment vertical="center"/>
    </xf>
    <xf numFmtId="0" fontId="22" fillId="0" borderId="17" xfId="0" applyFont="1" applyFill="1" applyBorder="1" applyAlignment="1">
      <alignment vertical="center"/>
    </xf>
    <xf numFmtId="0" fontId="22" fillId="0" borderId="17" xfId="0" applyFont="1" applyFill="1" applyBorder="1" applyAlignment="1">
      <alignment vertical="center" wrapText="1"/>
    </xf>
    <xf numFmtId="0" fontId="16" fillId="0" borderId="11" xfId="0" applyFont="1" applyBorder="1"/>
    <xf numFmtId="3" fontId="23" fillId="0" borderId="0" xfId="1" applyNumberFormat="1" applyFont="1" applyFill="1" applyBorder="1"/>
    <xf numFmtId="3" fontId="23" fillId="0" borderId="0" xfId="1" applyNumberFormat="1" applyFont="1" applyBorder="1"/>
    <xf numFmtId="0" fontId="0" fillId="0" borderId="11" xfId="0" applyFill="1" applyBorder="1"/>
    <xf numFmtId="43" fontId="21" fillId="0" borderId="0" xfId="1" applyFont="1"/>
    <xf numFmtId="43" fontId="21" fillId="0" borderId="0" xfId="0" applyNumberFormat="1" applyFont="1"/>
    <xf numFmtId="0" fontId="21" fillId="0" borderId="0" xfId="0" applyFont="1"/>
    <xf numFmtId="0" fontId="0" fillId="0" borderId="0" xfId="0" applyFill="1" applyBorder="1"/>
    <xf numFmtId="3" fontId="0" fillId="0" borderId="11" xfId="0" applyNumberFormat="1" applyFill="1" applyBorder="1"/>
    <xf numFmtId="165" fontId="15" fillId="0" borderId="30" xfId="2" applyNumberFormat="1" applyFont="1" applyFill="1" applyBorder="1" applyAlignment="1"/>
    <xf numFmtId="166" fontId="22" fillId="0" borderId="0" xfId="0" applyNumberFormat="1" applyFont="1"/>
    <xf numFmtId="43" fontId="16" fillId="0" borderId="0" xfId="0" applyNumberFormat="1" applyFont="1"/>
    <xf numFmtId="3" fontId="0" fillId="0" borderId="0" xfId="0" applyNumberFormat="1" applyFill="1"/>
    <xf numFmtId="3" fontId="15" fillId="0" borderId="0" xfId="0" applyNumberFormat="1" applyFont="1" applyFill="1" applyAlignment="1">
      <alignment horizontal="center"/>
    </xf>
    <xf numFmtId="3" fontId="22" fillId="0" borderId="33" xfId="1" applyNumberFormat="1" applyFont="1" applyFill="1" applyBorder="1" applyAlignment="1">
      <alignment vertical="center"/>
    </xf>
    <xf numFmtId="3" fontId="29" fillId="0" borderId="21" xfId="1" applyNumberFormat="1" applyFont="1" applyFill="1" applyBorder="1" applyAlignment="1">
      <alignment vertical="center"/>
    </xf>
    <xf numFmtId="164" fontId="29" fillId="0" borderId="38" xfId="1" applyNumberFormat="1" applyFont="1" applyFill="1" applyBorder="1" applyAlignment="1">
      <alignment vertical="center"/>
    </xf>
    <xf numFmtId="164" fontId="29" fillId="0" borderId="35" xfId="1" applyNumberFormat="1" applyFont="1" applyFill="1" applyBorder="1" applyAlignment="1">
      <alignment vertical="center"/>
    </xf>
    <xf numFmtId="164" fontId="15" fillId="0" borderId="0" xfId="0" applyNumberFormat="1" applyFont="1" applyFill="1"/>
    <xf numFmtId="165" fontId="0" fillId="0" borderId="0" xfId="2" applyNumberFormat="1" applyFont="1" applyBorder="1" applyAlignment="1"/>
    <xf numFmtId="49" fontId="2" fillId="0" borderId="0" xfId="0" applyNumberFormat="1" applyFont="1" applyAlignment="1"/>
    <xf numFmtId="0" fontId="34" fillId="0" borderId="0" xfId="3" applyFont="1" applyAlignment="1">
      <alignment vertical="center"/>
    </xf>
    <xf numFmtId="0" fontId="34" fillId="0" borderId="0" xfId="3" applyFont="1" applyFill="1" applyAlignment="1">
      <alignment vertical="center"/>
    </xf>
    <xf numFmtId="0" fontId="34" fillId="0" borderId="11" xfId="3" applyFont="1" applyBorder="1" applyAlignment="1">
      <alignment horizontal="center"/>
    </xf>
    <xf numFmtId="0" fontId="34" fillId="0" borderId="0" xfId="3" applyFont="1"/>
    <xf numFmtId="0" fontId="34" fillId="0" borderId="0" xfId="0" applyFont="1"/>
    <xf numFmtId="0" fontId="34" fillId="0" borderId="0" xfId="3" applyFont="1" applyAlignment="1">
      <alignment horizontal="center"/>
    </xf>
    <xf numFmtId="0" fontId="1" fillId="0" borderId="0" xfId="0" applyFont="1"/>
    <xf numFmtId="0" fontId="36" fillId="6" borderId="12" xfId="3" applyFont="1" applyFill="1" applyBorder="1" applyAlignment="1">
      <alignment horizontal="center" vertical="center" wrapText="1"/>
    </xf>
    <xf numFmtId="0" fontId="36" fillId="6" borderId="10" xfId="3" applyFont="1" applyFill="1" applyBorder="1" applyAlignment="1">
      <alignment horizontal="center" vertical="center" wrapText="1"/>
    </xf>
    <xf numFmtId="0" fontId="37" fillId="5" borderId="10" xfId="3" applyFont="1" applyFill="1" applyBorder="1" applyAlignment="1">
      <alignment horizontal="center" vertical="center" wrapText="1"/>
    </xf>
    <xf numFmtId="3" fontId="36" fillId="6" borderId="10" xfId="3" applyNumberFormat="1" applyFont="1" applyFill="1" applyBorder="1" applyAlignment="1">
      <alignment horizontal="center" vertical="center" wrapText="1"/>
    </xf>
    <xf numFmtId="40" fontId="36" fillId="6" borderId="10" xfId="3" applyNumberFormat="1" applyFont="1" applyFill="1" applyBorder="1" applyAlignment="1">
      <alignment horizontal="center" vertical="center" wrapText="1"/>
    </xf>
    <xf numFmtId="0" fontId="36" fillId="6" borderId="14" xfId="3" applyFont="1" applyFill="1" applyBorder="1" applyAlignment="1">
      <alignment horizontal="center" vertical="center" wrapText="1"/>
    </xf>
    <xf numFmtId="0" fontId="38" fillId="0" borderId="0" xfId="3" applyFont="1"/>
    <xf numFmtId="0" fontId="19" fillId="0" borderId="17" xfId="0" applyFont="1" applyFill="1" applyBorder="1" applyAlignment="1">
      <alignment horizontal="center" vertical="center" wrapText="1"/>
    </xf>
    <xf numFmtId="15" fontId="19" fillId="0" borderId="18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/>
    </xf>
    <xf numFmtId="49" fontId="19" fillId="0" borderId="18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justify" vertical="center"/>
    </xf>
    <xf numFmtId="3" fontId="33" fillId="0" borderId="18" xfId="4" applyNumberFormat="1" applyFont="1" applyFill="1" applyBorder="1" applyAlignment="1">
      <alignment vertical="center"/>
    </xf>
    <xf numFmtId="3" fontId="19" fillId="0" borderId="18" xfId="4" applyNumberFormat="1" applyFont="1" applyFill="1" applyBorder="1" applyAlignment="1">
      <alignment vertical="center"/>
    </xf>
    <xf numFmtId="40" fontId="19" fillId="0" borderId="18" xfId="4" applyNumberFormat="1" applyFont="1" applyFill="1" applyBorder="1" applyAlignment="1">
      <alignment vertical="center"/>
    </xf>
    <xf numFmtId="4" fontId="19" fillId="0" borderId="18" xfId="4" applyNumberFormat="1" applyFont="1" applyFill="1" applyBorder="1" applyAlignment="1">
      <alignment horizontal="center" vertical="center"/>
    </xf>
    <xf numFmtId="10" fontId="19" fillId="0" borderId="18" xfId="5" applyNumberFormat="1" applyFont="1" applyFill="1" applyBorder="1" applyAlignment="1">
      <alignment horizontal="center" vertical="center"/>
    </xf>
    <xf numFmtId="2" fontId="19" fillId="0" borderId="18" xfId="5" applyNumberFormat="1" applyFont="1" applyFill="1" applyBorder="1" applyAlignment="1">
      <alignment horizontal="center" vertical="center"/>
    </xf>
    <xf numFmtId="3" fontId="19" fillId="0" borderId="18" xfId="5" applyNumberFormat="1" applyFont="1" applyFill="1" applyBorder="1" applyAlignment="1">
      <alignment horizontal="center" vertical="center"/>
    </xf>
    <xf numFmtId="0" fontId="19" fillId="0" borderId="15" xfId="3" applyFont="1" applyFill="1" applyBorder="1" applyAlignment="1">
      <alignment horizontal="center" vertical="center" wrapText="1"/>
    </xf>
    <xf numFmtId="0" fontId="19" fillId="0" borderId="18" xfId="3" applyFont="1" applyFill="1" applyBorder="1" applyAlignment="1">
      <alignment horizontal="center" vertical="center" wrapText="1"/>
    </xf>
    <xf numFmtId="0" fontId="19" fillId="0" borderId="40" xfId="3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justify" vertical="center" wrapText="1"/>
    </xf>
    <xf numFmtId="15" fontId="19" fillId="0" borderId="41" xfId="0" applyNumberFormat="1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/>
    </xf>
    <xf numFmtId="49" fontId="19" fillId="0" borderId="41" xfId="0" applyNumberFormat="1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justify" vertical="center" wrapText="1"/>
    </xf>
    <xf numFmtId="3" fontId="33" fillId="0" borderId="41" xfId="4" applyNumberFormat="1" applyFont="1" applyFill="1" applyBorder="1" applyAlignment="1">
      <alignment vertical="center"/>
    </xf>
    <xf numFmtId="3" fontId="19" fillId="0" borderId="41" xfId="4" applyNumberFormat="1" applyFont="1" applyFill="1" applyBorder="1" applyAlignment="1">
      <alignment vertical="center"/>
    </xf>
    <xf numFmtId="4" fontId="19" fillId="0" borderId="41" xfId="4" applyNumberFormat="1" applyFont="1" applyFill="1" applyBorder="1" applyAlignment="1">
      <alignment horizontal="center" vertical="center"/>
    </xf>
    <xf numFmtId="3" fontId="19" fillId="0" borderId="41" xfId="5" applyNumberFormat="1" applyFont="1" applyFill="1" applyBorder="1" applyAlignment="1">
      <alignment horizontal="center" vertical="center"/>
    </xf>
    <xf numFmtId="2" fontId="19" fillId="0" borderId="41" xfId="5" applyNumberFormat="1" applyFont="1" applyFill="1" applyBorder="1" applyAlignment="1">
      <alignment horizontal="center" vertical="center"/>
    </xf>
    <xf numFmtId="10" fontId="19" fillId="0" borderId="41" xfId="5" applyNumberFormat="1" applyFont="1" applyFill="1" applyBorder="1" applyAlignment="1">
      <alignment horizontal="center" vertical="center"/>
    </xf>
    <xf numFmtId="40" fontId="19" fillId="0" borderId="41" xfId="4" applyNumberFormat="1" applyFont="1" applyFill="1" applyBorder="1" applyAlignment="1">
      <alignment vertical="center"/>
    </xf>
    <xf numFmtId="0" fontId="38" fillId="0" borderId="0" xfId="3" applyFont="1" applyAlignment="1">
      <alignment vertical="center"/>
    </xf>
    <xf numFmtId="0" fontId="38" fillId="0" borderId="0" xfId="3" applyFont="1" applyFill="1" applyAlignment="1">
      <alignment vertical="center"/>
    </xf>
    <xf numFmtId="3" fontId="38" fillId="0" borderId="0" xfId="3" applyNumberFormat="1" applyFont="1" applyAlignment="1">
      <alignment vertical="center"/>
    </xf>
    <xf numFmtId="40" fontId="38" fillId="0" borderId="0" xfId="3" applyNumberFormat="1" applyFont="1" applyAlignment="1">
      <alignment vertical="center"/>
    </xf>
    <xf numFmtId="4" fontId="38" fillId="0" borderId="0" xfId="3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3" applyFont="1" applyAlignment="1">
      <alignment horizontal="center"/>
    </xf>
    <xf numFmtId="0" fontId="39" fillId="6" borderId="12" xfId="3" applyFont="1" applyFill="1" applyBorder="1" applyAlignment="1">
      <alignment horizontal="center" vertical="center"/>
    </xf>
    <xf numFmtId="3" fontId="33" fillId="6" borderId="10" xfId="4" applyNumberFormat="1" applyFont="1" applyFill="1" applyBorder="1" applyAlignment="1">
      <alignment vertical="center"/>
    </xf>
    <xf numFmtId="3" fontId="33" fillId="6" borderId="14" xfId="4" applyNumberFormat="1" applyFont="1" applyFill="1" applyBorder="1" applyAlignment="1">
      <alignment vertical="center"/>
    </xf>
    <xf numFmtId="40" fontId="33" fillId="6" borderId="14" xfId="4" applyNumberFormat="1" applyFont="1" applyFill="1" applyBorder="1" applyAlignment="1">
      <alignment vertical="center"/>
    </xf>
    <xf numFmtId="0" fontId="19" fillId="0" borderId="0" xfId="3" applyFont="1" applyBorder="1" applyAlignment="1">
      <alignment horizontal="center"/>
    </xf>
    <xf numFmtId="0" fontId="38" fillId="0" borderId="0" xfId="0" applyFont="1"/>
    <xf numFmtId="2" fontId="38" fillId="0" borderId="0" xfId="5" applyNumberFormat="1" applyFont="1" applyFill="1" applyBorder="1" applyAlignment="1">
      <alignment vertical="center"/>
    </xf>
    <xf numFmtId="0" fontId="38" fillId="0" borderId="0" xfId="3" applyFont="1" applyFill="1"/>
    <xf numFmtId="3" fontId="38" fillId="0" borderId="0" xfId="3" applyNumberFormat="1" applyFont="1"/>
    <xf numFmtId="40" fontId="38" fillId="0" borderId="0" xfId="3" applyNumberFormat="1" applyFont="1"/>
    <xf numFmtId="43" fontId="38" fillId="0" borderId="0" xfId="6" applyFont="1"/>
    <xf numFmtId="0" fontId="40" fillId="0" borderId="0" xfId="3" applyFont="1"/>
    <xf numFmtId="0" fontId="33" fillId="0" borderId="0" xfId="3" applyFont="1" applyAlignment="1">
      <alignment horizontal="left"/>
    </xf>
    <xf numFmtId="0" fontId="1" fillId="0" borderId="0" xfId="0" applyFont="1" applyAlignment="1">
      <alignment wrapText="1"/>
    </xf>
    <xf numFmtId="0" fontId="1" fillId="0" borderId="42" xfId="0" applyFont="1" applyBorder="1"/>
    <xf numFmtId="9" fontId="19" fillId="0" borderId="18" xfId="5" applyNumberFormat="1" applyFont="1" applyFill="1" applyBorder="1" applyAlignment="1">
      <alignment horizontal="center" vertical="center"/>
    </xf>
    <xf numFmtId="9" fontId="19" fillId="0" borderId="41" xfId="5" applyNumberFormat="1" applyFont="1" applyFill="1" applyBorder="1" applyAlignment="1">
      <alignment horizontal="center" vertical="center"/>
    </xf>
    <xf numFmtId="0" fontId="19" fillId="0" borderId="16" xfId="3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vertical="center"/>
    </xf>
    <xf numFmtId="3" fontId="22" fillId="0" borderId="29" xfId="1" applyNumberFormat="1" applyFont="1" applyFill="1" applyBorder="1" applyAlignment="1">
      <alignment vertical="center"/>
    </xf>
    <xf numFmtId="3" fontId="22" fillId="0" borderId="44" xfId="1" applyNumberFormat="1" applyFont="1" applyFill="1" applyBorder="1" applyAlignment="1">
      <alignment vertical="center"/>
    </xf>
    <xf numFmtId="164" fontId="29" fillId="0" borderId="45" xfId="1" applyNumberFormat="1" applyFont="1" applyFill="1" applyBorder="1" applyAlignment="1">
      <alignment vertical="center"/>
    </xf>
    <xf numFmtId="0" fontId="0" fillId="0" borderId="0" xfId="0" applyFill="1" applyAlignment="1"/>
    <xf numFmtId="0" fontId="32" fillId="0" borderId="0" xfId="0" applyFont="1" applyFill="1" applyAlignment="1">
      <alignment horizontal="center" vertical="center" wrapText="1"/>
    </xf>
    <xf numFmtId="0" fontId="0" fillId="0" borderId="46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41" fillId="0" borderId="0" xfId="0" applyFont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/>
    </xf>
    <xf numFmtId="0" fontId="2" fillId="0" borderId="0" xfId="0" applyFont="1"/>
    <xf numFmtId="10" fontId="19" fillId="0" borderId="18" xfId="5" applyNumberFormat="1" applyFont="1" applyFill="1" applyBorder="1" applyAlignment="1">
      <alignment vertical="center"/>
    </xf>
    <xf numFmtId="10" fontId="19" fillId="0" borderId="18" xfId="5" applyNumberFormat="1" applyFont="1" applyFill="1" applyBorder="1" applyAlignment="1">
      <alignment horizontal="center" vertical="center" wrapText="1"/>
    </xf>
    <xf numFmtId="165" fontId="42" fillId="0" borderId="21" xfId="2" applyNumberFormat="1" applyFont="1" applyBorder="1" applyAlignment="1"/>
    <xf numFmtId="165" fontId="42" fillId="0" borderId="27" xfId="2" applyNumberFormat="1" applyFont="1" applyBorder="1" applyAlignment="1"/>
    <xf numFmtId="165" fontId="42" fillId="0" borderId="30" xfId="2" applyNumberFormat="1" applyFont="1" applyBorder="1" applyAlignment="1"/>
    <xf numFmtId="0" fontId="0" fillId="0" borderId="0" xfId="0" applyAlignment="1">
      <alignment vertical="top"/>
    </xf>
    <xf numFmtId="0" fontId="21" fillId="0" borderId="0" xfId="0" applyFont="1" applyAlignment="1">
      <alignment horizontal="center" vertical="top"/>
    </xf>
    <xf numFmtId="43" fontId="21" fillId="0" borderId="0" xfId="0" applyNumberFormat="1" applyFont="1" applyAlignment="1">
      <alignment vertical="top"/>
    </xf>
    <xf numFmtId="43" fontId="21" fillId="0" borderId="0" xfId="1" applyFont="1" applyAlignment="1">
      <alignment vertical="top"/>
    </xf>
    <xf numFmtId="0" fontId="0" fillId="0" borderId="0" xfId="0" applyAlignment="1">
      <alignment horizontal="center" vertical="top"/>
    </xf>
    <xf numFmtId="3" fontId="19" fillId="0" borderId="0" xfId="3" applyNumberFormat="1" applyFont="1" applyFill="1" applyBorder="1" applyAlignment="1">
      <alignment horizontal="center" vertical="center" wrapText="1"/>
    </xf>
    <xf numFmtId="3" fontId="19" fillId="0" borderId="42" xfId="3" applyNumberFormat="1" applyFont="1" applyFill="1" applyBorder="1" applyAlignment="1">
      <alignment horizontal="center" vertical="center" wrapText="1"/>
    </xf>
    <xf numFmtId="3" fontId="43" fillId="0" borderId="18" xfId="4" applyNumberFormat="1" applyFont="1" applyFill="1" applyBorder="1" applyAlignment="1">
      <alignment vertical="center"/>
    </xf>
    <xf numFmtId="43" fontId="29" fillId="0" borderId="35" xfId="1" applyNumberFormat="1" applyFont="1" applyFill="1" applyBorder="1" applyAlignment="1">
      <alignment vertical="center"/>
    </xf>
    <xf numFmtId="164" fontId="23" fillId="0" borderId="43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165" fontId="7" fillId="0" borderId="56" xfId="2" applyNumberFormat="1" applyFont="1" applyBorder="1" applyAlignment="1"/>
    <xf numFmtId="0" fontId="0" fillId="0" borderId="0" xfId="0" applyBorder="1" applyAlignment="1"/>
    <xf numFmtId="165" fontId="7" fillId="0" borderId="58" xfId="2" applyNumberFormat="1" applyFont="1" applyBorder="1" applyAlignment="1"/>
    <xf numFmtId="165" fontId="7" fillId="0" borderId="61" xfId="0" applyNumberFormat="1" applyFont="1" applyBorder="1"/>
    <xf numFmtId="0" fontId="0" fillId="0" borderId="0" xfId="0" applyBorder="1"/>
    <xf numFmtId="49" fontId="46" fillId="0" borderId="0" xfId="0" applyNumberFormat="1" applyFont="1" applyAlignment="1"/>
    <xf numFmtId="0" fontId="0" fillId="0" borderId="0" xfId="0" applyBorder="1" applyAlignment="1">
      <alignment horizontal="center"/>
    </xf>
    <xf numFmtId="0" fontId="47" fillId="0" borderId="0" xfId="0" applyFont="1" applyFill="1" applyAlignment="1">
      <alignment vertical="center"/>
    </xf>
    <xf numFmtId="3" fontId="48" fillId="14" borderId="9" xfId="0" applyNumberFormat="1" applyFont="1" applyFill="1" applyBorder="1" applyAlignment="1">
      <alignment horizontal="center" vertical="center"/>
    </xf>
    <xf numFmtId="3" fontId="48" fillId="14" borderId="62" xfId="0" applyNumberFormat="1" applyFont="1" applyFill="1" applyBorder="1" applyAlignment="1">
      <alignment horizontal="center" vertical="center"/>
    </xf>
    <xf numFmtId="3" fontId="48" fillId="14" borderId="10" xfId="0" applyNumberFormat="1" applyFont="1" applyFill="1" applyBorder="1" applyAlignment="1">
      <alignment horizontal="center" vertical="center"/>
    </xf>
    <xf numFmtId="0" fontId="48" fillId="14" borderId="6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3" fontId="48" fillId="14" borderId="9" xfId="0" applyNumberFormat="1" applyFont="1" applyFill="1" applyBorder="1" applyAlignment="1">
      <alignment horizontal="center" vertical="center" wrapText="1"/>
    </xf>
    <xf numFmtId="3" fontId="35" fillId="14" borderId="10" xfId="0" applyNumberFormat="1" applyFont="1" applyFill="1" applyBorder="1" applyAlignment="1">
      <alignment horizontal="center" vertical="justify"/>
    </xf>
    <xf numFmtId="0" fontId="0" fillId="0" borderId="0" xfId="0" applyBorder="1" applyAlignment="1">
      <alignment vertical="justify"/>
    </xf>
    <xf numFmtId="0" fontId="47" fillId="0" borderId="0" xfId="0" applyFont="1" applyFill="1"/>
    <xf numFmtId="0" fontId="47" fillId="0" borderId="0" xfId="0" applyFont="1" applyFill="1" applyAlignment="1">
      <alignment horizontal="center"/>
    </xf>
    <xf numFmtId="0" fontId="49" fillId="6" borderId="63" xfId="0" applyFont="1" applyFill="1" applyBorder="1" applyAlignment="1">
      <alignment horizontal="center" vertical="center" wrapText="1"/>
    </xf>
    <xf numFmtId="0" fontId="49" fillId="6" borderId="64" xfId="0" applyFont="1" applyFill="1" applyBorder="1" applyAlignment="1">
      <alignment horizontal="center" vertical="center" wrapText="1"/>
    </xf>
    <xf numFmtId="3" fontId="49" fillId="6" borderId="64" xfId="0" applyNumberFormat="1" applyFont="1" applyFill="1" applyBorder="1" applyAlignment="1">
      <alignment horizontal="center" vertical="center" wrapText="1"/>
    </xf>
    <xf numFmtId="0" fontId="49" fillId="6" borderId="67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/>
    </xf>
    <xf numFmtId="15" fontId="19" fillId="0" borderId="39" xfId="0" applyNumberFormat="1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 wrapText="1"/>
    </xf>
    <xf numFmtId="49" fontId="19" fillId="13" borderId="39" xfId="0" applyNumberFormat="1" applyFont="1" applyFill="1" applyBorder="1" applyAlignment="1">
      <alignment horizontal="center" vertical="center"/>
    </xf>
    <xf numFmtId="0" fontId="19" fillId="13" borderId="39" xfId="0" applyFont="1" applyFill="1" applyBorder="1" applyAlignment="1">
      <alignment horizontal="justify" vertical="center" wrapText="1"/>
    </xf>
    <xf numFmtId="3" fontId="33" fillId="0" borderId="39" xfId="4" applyNumberFormat="1" applyFont="1" applyFill="1" applyBorder="1" applyAlignment="1">
      <alignment vertical="center"/>
    </xf>
    <xf numFmtId="3" fontId="33" fillId="13" borderId="39" xfId="4" applyNumberFormat="1" applyFont="1" applyFill="1" applyBorder="1" applyAlignment="1">
      <alignment vertical="center"/>
    </xf>
    <xf numFmtId="3" fontId="19" fillId="0" borderId="39" xfId="8" applyNumberFormat="1" applyFont="1" applyFill="1" applyBorder="1" applyAlignment="1">
      <alignment vertical="center"/>
    </xf>
    <xf numFmtId="3" fontId="33" fillId="0" borderId="20" xfId="8" applyNumberFormat="1" applyFont="1" applyFill="1" applyBorder="1" applyAlignment="1">
      <alignment vertical="center"/>
    </xf>
    <xf numFmtId="3" fontId="33" fillId="0" borderId="41" xfId="8" applyNumberFormat="1" applyFont="1" applyFill="1" applyBorder="1" applyAlignment="1">
      <alignment vertical="center"/>
    </xf>
    <xf numFmtId="4" fontId="19" fillId="0" borderId="39" xfId="4" applyNumberFormat="1" applyFont="1" applyFill="1" applyBorder="1" applyAlignment="1">
      <alignment horizontal="center" vertical="center"/>
    </xf>
    <xf numFmtId="10" fontId="19" fillId="0" borderId="39" xfId="9" applyNumberFormat="1" applyFont="1" applyFill="1" applyBorder="1" applyAlignment="1">
      <alignment vertical="center"/>
    </xf>
    <xf numFmtId="10" fontId="19" fillId="0" borderId="39" xfId="5" applyNumberFormat="1" applyFont="1" applyFill="1" applyBorder="1" applyAlignment="1">
      <alignment horizontal="center" vertical="center" wrapText="1"/>
    </xf>
    <xf numFmtId="2" fontId="19" fillId="0" borderId="39" xfId="5" applyNumberFormat="1" applyFont="1" applyFill="1" applyBorder="1" applyAlignment="1">
      <alignment horizontal="center" vertical="center"/>
    </xf>
    <xf numFmtId="49" fontId="19" fillId="0" borderId="39" xfId="5" applyNumberFormat="1" applyFont="1" applyFill="1" applyBorder="1" applyAlignment="1">
      <alignment horizontal="center" vertical="center"/>
    </xf>
    <xf numFmtId="3" fontId="33" fillId="0" borderId="18" xfId="8" applyNumberFormat="1" applyFont="1" applyFill="1" applyBorder="1" applyAlignment="1">
      <alignment vertical="center"/>
    </xf>
    <xf numFmtId="3" fontId="33" fillId="13" borderId="18" xfId="8" applyNumberFormat="1" applyFont="1" applyFill="1" applyBorder="1" applyAlignment="1">
      <alignment vertical="center"/>
    </xf>
    <xf numFmtId="3" fontId="33" fillId="0" borderId="68" xfId="8" applyNumberFormat="1" applyFont="1" applyFill="1" applyBorder="1" applyAlignment="1">
      <alignment vertical="center"/>
    </xf>
    <xf numFmtId="3" fontId="33" fillId="13" borderId="68" xfId="8" applyNumberFormat="1" applyFont="1" applyFill="1" applyBorder="1" applyAlignment="1">
      <alignment vertical="center"/>
    </xf>
    <xf numFmtId="3" fontId="33" fillId="13" borderId="41" xfId="8" applyNumberFormat="1" applyFont="1" applyFill="1" applyBorder="1" applyAlignment="1">
      <alignment vertical="center"/>
    </xf>
    <xf numFmtId="3" fontId="33" fillId="13" borderId="18" xfId="4" applyNumberFormat="1" applyFont="1" applyFill="1" applyBorder="1" applyAlignment="1">
      <alignment vertical="center"/>
    </xf>
    <xf numFmtId="10" fontId="19" fillId="0" borderId="18" xfId="9" applyNumberFormat="1" applyFont="1" applyFill="1" applyBorder="1" applyAlignment="1">
      <alignment vertical="center"/>
    </xf>
    <xf numFmtId="164" fontId="52" fillId="0" borderId="0" xfId="4" applyNumberFormat="1" applyFont="1" applyFill="1" applyBorder="1" applyAlignment="1">
      <alignment vertical="center"/>
    </xf>
    <xf numFmtId="3" fontId="53" fillId="13" borderId="0" xfId="4" applyNumberFormat="1" applyFont="1" applyFill="1" applyBorder="1" applyAlignment="1">
      <alignment vertical="center"/>
    </xf>
    <xf numFmtId="3" fontId="52" fillId="0" borderId="0" xfId="8" applyNumberFormat="1" applyFont="1" applyFill="1" applyBorder="1" applyAlignment="1">
      <alignment vertical="center"/>
    </xf>
    <xf numFmtId="3" fontId="51" fillId="0" borderId="68" xfId="8" applyNumberFormat="1" applyFont="1" applyFill="1" applyBorder="1" applyAlignment="1">
      <alignment vertical="center"/>
    </xf>
    <xf numFmtId="3" fontId="53" fillId="0" borderId="0" xfId="8" applyNumberFormat="1" applyFont="1" applyFill="1" applyBorder="1" applyAlignment="1">
      <alignment vertical="center"/>
    </xf>
    <xf numFmtId="4" fontId="53" fillId="0" borderId="0" xfId="8" applyNumberFormat="1" applyFont="1" applyFill="1" applyBorder="1" applyAlignment="1">
      <alignment vertical="center"/>
    </xf>
    <xf numFmtId="164" fontId="53" fillId="0" borderId="0" xfId="8" applyNumberFormat="1" applyFont="1" applyFill="1" applyBorder="1" applyAlignment="1">
      <alignment horizontal="center" vertical="center"/>
    </xf>
    <xf numFmtId="4" fontId="53" fillId="0" borderId="0" xfId="8" applyNumberFormat="1" applyFont="1" applyFill="1" applyBorder="1" applyAlignment="1">
      <alignment horizontal="center" vertical="center"/>
    </xf>
    <xf numFmtId="10" fontId="53" fillId="0" borderId="0" xfId="9" applyNumberFormat="1" applyFont="1" applyFill="1" applyBorder="1" applyAlignment="1">
      <alignment vertical="center"/>
    </xf>
    <xf numFmtId="10" fontId="53" fillId="0" borderId="0" xfId="5" applyNumberFormat="1" applyFont="1" applyFill="1" applyBorder="1" applyAlignment="1">
      <alignment horizontal="center" vertical="center" wrapText="1"/>
    </xf>
    <xf numFmtId="2" fontId="53" fillId="0" borderId="0" xfId="5" applyNumberFormat="1" applyFont="1" applyFill="1" applyBorder="1" applyAlignment="1">
      <alignment horizontal="center" vertical="center"/>
    </xf>
    <xf numFmtId="3" fontId="53" fillId="0" borderId="0" xfId="5" applyNumberFormat="1" applyFont="1" applyFill="1" applyBorder="1" applyAlignment="1">
      <alignment horizontal="center" vertical="center"/>
    </xf>
    <xf numFmtId="0" fontId="53" fillId="0" borderId="0" xfId="0" applyFont="1" applyFill="1" applyBorder="1" applyAlignment="1">
      <alignment horizontal="center" vertical="center" wrapText="1"/>
    </xf>
    <xf numFmtId="0" fontId="54" fillId="0" borderId="0" xfId="0" applyFont="1"/>
    <xf numFmtId="0" fontId="53" fillId="0" borderId="0" xfId="0" applyFont="1" applyFill="1" applyBorder="1" applyAlignment="1">
      <alignment horizontal="center" vertical="center"/>
    </xf>
    <xf numFmtId="15" fontId="53" fillId="0" borderId="0" xfId="0" applyNumberFormat="1" applyFont="1" applyFill="1" applyBorder="1" applyAlignment="1">
      <alignment horizontal="center" vertical="center"/>
    </xf>
    <xf numFmtId="49" fontId="53" fillId="0" borderId="0" xfId="0" applyNumberFormat="1" applyFont="1" applyFill="1" applyBorder="1" applyAlignment="1">
      <alignment horizontal="center" vertical="center"/>
    </xf>
    <xf numFmtId="0" fontId="55" fillId="6" borderId="12" xfId="3" applyFont="1" applyFill="1" applyBorder="1" applyAlignment="1">
      <alignment horizontal="center" vertical="center"/>
    </xf>
    <xf numFmtId="164" fontId="52" fillId="6" borderId="10" xfId="1" applyNumberFormat="1" applyFont="1" applyFill="1" applyBorder="1" applyAlignment="1">
      <alignment vertical="center"/>
    </xf>
    <xf numFmtId="43" fontId="52" fillId="6" borderId="10" xfId="1" applyFont="1" applyFill="1" applyBorder="1" applyAlignment="1">
      <alignment vertical="center"/>
    </xf>
    <xf numFmtId="43" fontId="53" fillId="0" borderId="0" xfId="9" applyNumberFormat="1" applyFont="1" applyFill="1" applyBorder="1" applyAlignment="1">
      <alignment vertical="center"/>
    </xf>
    <xf numFmtId="43" fontId="53" fillId="0" borderId="0" xfId="5" applyNumberFormat="1" applyFont="1" applyFill="1" applyBorder="1" applyAlignment="1">
      <alignment horizontal="center" vertical="center" wrapText="1"/>
    </xf>
    <xf numFmtId="0" fontId="52" fillId="0" borderId="0" xfId="3" applyFont="1" applyAlignment="1">
      <alignment horizontal="left"/>
    </xf>
    <xf numFmtId="4" fontId="54" fillId="0" borderId="0" xfId="0" applyNumberFormat="1" applyFont="1"/>
    <xf numFmtId="43" fontId="54" fillId="0" borderId="0" xfId="0" applyNumberFormat="1" applyFont="1"/>
    <xf numFmtId="2" fontId="54" fillId="0" borderId="0" xfId="0" applyNumberFormat="1" applyFont="1"/>
    <xf numFmtId="9" fontId="19" fillId="0" borderId="39" xfId="9" applyNumberFormat="1" applyFont="1" applyFill="1" applyBorder="1" applyAlignment="1">
      <alignment horizontal="center" vertical="center"/>
    </xf>
    <xf numFmtId="49" fontId="2" fillId="0" borderId="0" xfId="0" applyNumberFormat="1" applyFont="1"/>
    <xf numFmtId="0" fontId="56" fillId="0" borderId="0" xfId="3" applyFont="1" applyAlignment="1">
      <alignment vertical="center"/>
    </xf>
    <xf numFmtId="0" fontId="0" fillId="0" borderId="0" xfId="0" applyBorder="1" applyAlignment="1">
      <alignment horizontal="center" vertical="justify" wrapText="1"/>
    </xf>
    <xf numFmtId="0" fontId="56" fillId="0" borderId="0" xfId="3" applyFont="1"/>
    <xf numFmtId="0" fontId="56" fillId="0" borderId="0" xfId="7" applyFont="1"/>
    <xf numFmtId="0" fontId="56" fillId="0" borderId="0" xfId="3" applyFont="1" applyAlignment="1">
      <alignment horizontal="center"/>
    </xf>
    <xf numFmtId="0" fontId="57" fillId="6" borderId="49" xfId="0" applyFont="1" applyFill="1" applyBorder="1" applyAlignment="1">
      <alignment horizontal="center" vertical="center" wrapText="1"/>
    </xf>
    <xf numFmtId="0" fontId="58" fillId="6" borderId="50" xfId="3" applyFont="1" applyFill="1" applyBorder="1" applyAlignment="1">
      <alignment horizontal="center" vertical="center" wrapText="1"/>
    </xf>
    <xf numFmtId="0" fontId="49" fillId="6" borderId="51" xfId="0" applyFont="1" applyFill="1" applyBorder="1" applyAlignment="1">
      <alignment horizontal="center" vertical="center" wrapText="1"/>
    </xf>
    <xf numFmtId="0" fontId="49" fillId="6" borderId="52" xfId="0" applyFont="1" applyFill="1" applyBorder="1" applyAlignment="1">
      <alignment horizontal="center" vertical="center" wrapText="1"/>
    </xf>
    <xf numFmtId="0" fontId="49" fillId="6" borderId="53" xfId="0" applyFont="1" applyFill="1" applyBorder="1" applyAlignment="1">
      <alignment horizontal="center" vertical="center" wrapText="1"/>
    </xf>
    <xf numFmtId="0" fontId="47" fillId="0" borderId="0" xfId="3" applyFont="1"/>
    <xf numFmtId="0" fontId="59" fillId="0" borderId="18" xfId="3" applyFont="1" applyBorder="1" applyAlignment="1">
      <alignment horizontal="center" vertical="center" wrapText="1"/>
    </xf>
    <xf numFmtId="0" fontId="47" fillId="0" borderId="0" xfId="3" applyFont="1" applyAlignment="1">
      <alignment vertical="center"/>
    </xf>
    <xf numFmtId="3" fontId="52" fillId="6" borderId="10" xfId="4" applyNumberFormat="1" applyFont="1" applyFill="1" applyBorder="1" applyAlignment="1">
      <alignment vertical="center"/>
    </xf>
    <xf numFmtId="3" fontId="60" fillId="0" borderId="0" xfId="3" applyNumberFormat="1" applyFont="1"/>
    <xf numFmtId="0" fontId="47" fillId="0" borderId="0" xfId="7" applyFont="1"/>
    <xf numFmtId="2" fontId="47" fillId="0" borderId="0" xfId="5" applyNumberFormat="1" applyFont="1" applyFill="1" applyBorder="1" applyAlignment="1">
      <alignment vertical="center"/>
    </xf>
    <xf numFmtId="0" fontId="47" fillId="0" borderId="0" xfId="3" applyFont="1" applyAlignment="1">
      <alignment horizontal="center"/>
    </xf>
    <xf numFmtId="0" fontId="60" fillId="0" borderId="0" xfId="3" applyFont="1" applyFill="1" applyBorder="1" applyAlignment="1">
      <alignment horizontal="left" vertical="center"/>
    </xf>
    <xf numFmtId="3" fontId="47" fillId="0" borderId="0" xfId="3" applyNumberFormat="1" applyFont="1"/>
    <xf numFmtId="40" fontId="47" fillId="0" borderId="0" xfId="3" applyNumberFormat="1" applyFont="1"/>
    <xf numFmtId="164" fontId="0" fillId="0" borderId="0" xfId="0" applyNumberFormat="1"/>
    <xf numFmtId="164" fontId="0" fillId="0" borderId="0" xfId="1" applyNumberFormat="1" applyFont="1"/>
    <xf numFmtId="0" fontId="19" fillId="0" borderId="18" xfId="7" applyFont="1" applyFill="1" applyBorder="1" applyAlignment="1">
      <alignment horizontal="center" vertical="center" wrapText="1"/>
    </xf>
    <xf numFmtId="14" fontId="61" fillId="0" borderId="18" xfId="3" applyNumberFormat="1" applyFont="1" applyFill="1" applyBorder="1" applyAlignment="1">
      <alignment horizontal="center" vertical="center" wrapText="1"/>
    </xf>
    <xf numFmtId="0" fontId="61" fillId="0" borderId="18" xfId="3" applyFont="1" applyFill="1" applyBorder="1" applyAlignment="1">
      <alignment horizontal="center" vertical="center" wrapText="1"/>
    </xf>
    <xf numFmtId="0" fontId="19" fillId="13" borderId="18" xfId="7" applyFont="1" applyFill="1" applyBorder="1" applyAlignment="1">
      <alignment horizontal="justify" vertical="center" wrapText="1"/>
    </xf>
    <xf numFmtId="3" fontId="19" fillId="13" borderId="39" xfId="4" applyNumberFormat="1" applyFont="1" applyFill="1" applyBorder="1" applyAlignment="1">
      <alignment vertical="center"/>
    </xf>
    <xf numFmtId="40" fontId="36" fillId="0" borderId="18" xfId="3" applyNumberFormat="1" applyFont="1" applyFill="1" applyBorder="1" applyAlignment="1">
      <alignment horizontal="center" vertical="center" wrapText="1"/>
    </xf>
    <xf numFmtId="3" fontId="36" fillId="0" borderId="18" xfId="3" applyNumberFormat="1" applyFont="1" applyFill="1" applyBorder="1" applyAlignment="1">
      <alignment horizontal="center" vertical="center" wrapText="1"/>
    </xf>
    <xf numFmtId="10" fontId="19" fillId="13" borderId="18" xfId="5" applyNumberFormat="1" applyFont="1" applyFill="1" applyBorder="1" applyAlignment="1">
      <alignment vertical="center"/>
    </xf>
    <xf numFmtId="0" fontId="19" fillId="0" borderId="18" xfId="3" applyFont="1" applyBorder="1" applyAlignment="1">
      <alignment horizontal="center" vertical="center" wrapText="1"/>
    </xf>
    <xf numFmtId="3" fontId="19" fillId="0" borderId="39" xfId="4" applyNumberFormat="1" applyFont="1" applyFill="1" applyBorder="1" applyAlignment="1">
      <alignment vertical="center"/>
    </xf>
    <xf numFmtId="0" fontId="19" fillId="0" borderId="0" xfId="7" applyFont="1" applyFill="1" applyBorder="1" applyAlignment="1">
      <alignment horizontal="center" vertical="center" wrapText="1"/>
    </xf>
    <xf numFmtId="14" fontId="61" fillId="0" borderId="0" xfId="3" applyNumberFormat="1" applyFont="1" applyFill="1" applyBorder="1" applyAlignment="1">
      <alignment horizontal="center" vertical="center" wrapText="1"/>
    </xf>
    <xf numFmtId="0" fontId="61" fillId="0" borderId="0" xfId="3" applyFont="1" applyFill="1" applyBorder="1" applyAlignment="1">
      <alignment horizontal="center" vertical="center" wrapText="1"/>
    </xf>
    <xf numFmtId="0" fontId="19" fillId="13" borderId="0" xfId="7" applyFont="1" applyFill="1" applyBorder="1" applyAlignment="1">
      <alignment horizontal="justify" vertical="center" wrapText="1"/>
    </xf>
    <xf numFmtId="3" fontId="33" fillId="0" borderId="0" xfId="4" applyNumberFormat="1" applyFont="1" applyFill="1" applyBorder="1" applyAlignment="1">
      <alignment vertical="center"/>
    </xf>
    <xf numFmtId="3" fontId="19" fillId="0" borderId="0" xfId="4" applyNumberFormat="1" applyFont="1" applyFill="1" applyBorder="1" applyAlignment="1">
      <alignment vertical="center"/>
    </xf>
    <xf numFmtId="3" fontId="33" fillId="13" borderId="0" xfId="4" applyNumberFormat="1" applyFont="1" applyFill="1" applyBorder="1" applyAlignment="1">
      <alignment vertical="center"/>
    </xf>
    <xf numFmtId="40" fontId="36" fillId="0" borderId="0" xfId="3" applyNumberFormat="1" applyFont="1" applyFill="1" applyBorder="1" applyAlignment="1">
      <alignment horizontal="center" vertical="center" wrapText="1"/>
    </xf>
    <xf numFmtId="3" fontId="36" fillId="0" borderId="0" xfId="3" applyNumberFormat="1" applyFont="1" applyFill="1" applyBorder="1" applyAlignment="1">
      <alignment horizontal="center" vertical="center" wrapText="1"/>
    </xf>
    <xf numFmtId="2" fontId="19" fillId="0" borderId="0" xfId="5" applyNumberFormat="1" applyFont="1" applyFill="1" applyBorder="1" applyAlignment="1">
      <alignment horizontal="center" vertical="center"/>
    </xf>
    <xf numFmtId="10" fontId="19" fillId="0" borderId="0" xfId="5" applyNumberFormat="1" applyFont="1" applyFill="1" applyBorder="1" applyAlignment="1">
      <alignment vertical="center"/>
    </xf>
    <xf numFmtId="10" fontId="19" fillId="13" borderId="0" xfId="5" applyNumberFormat="1" applyFont="1" applyFill="1" applyBorder="1" applyAlignment="1">
      <alignment vertical="center"/>
    </xf>
    <xf numFmtId="10" fontId="19" fillId="0" borderId="0" xfId="5" applyNumberFormat="1" applyFont="1" applyFill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4" fontId="38" fillId="0" borderId="0" xfId="3" applyNumberFormat="1" applyFont="1"/>
    <xf numFmtId="0" fontId="0" fillId="0" borderId="0" xfId="0" applyAlignment="1">
      <alignment horizontal="center"/>
    </xf>
    <xf numFmtId="43" fontId="15" fillId="0" borderId="0" xfId="1" applyFont="1"/>
    <xf numFmtId="4" fontId="47" fillId="0" borderId="0" xfId="3" applyNumberFormat="1" applyFont="1" applyAlignment="1">
      <alignment horizontal="center"/>
    </xf>
    <xf numFmtId="43" fontId="15" fillId="0" borderId="0" xfId="1" applyFont="1" applyAlignment="1">
      <alignment horizontal="center" vertical="center"/>
    </xf>
    <xf numFmtId="0" fontId="19" fillId="0" borderId="71" xfId="7" applyFont="1" applyFill="1" applyBorder="1" applyAlignment="1">
      <alignment horizontal="center" vertical="center" wrapText="1"/>
    </xf>
    <xf numFmtId="0" fontId="61" fillId="0" borderId="72" xfId="3" applyFont="1" applyFill="1" applyBorder="1" applyAlignment="1">
      <alignment horizontal="center" vertical="center" wrapText="1"/>
    </xf>
    <xf numFmtId="0" fontId="61" fillId="0" borderId="20" xfId="3" applyFont="1" applyFill="1" applyBorder="1" applyAlignment="1">
      <alignment horizontal="center" vertical="center" wrapText="1"/>
    </xf>
    <xf numFmtId="0" fontId="19" fillId="13" borderId="20" xfId="7" applyFont="1" applyFill="1" applyBorder="1" applyAlignment="1">
      <alignment horizontal="justify" vertical="center" wrapText="1"/>
    </xf>
    <xf numFmtId="3" fontId="33" fillId="0" borderId="20" xfId="4" applyNumberFormat="1" applyFont="1" applyFill="1" applyBorder="1" applyAlignment="1">
      <alignment vertical="center"/>
    </xf>
    <xf numFmtId="3" fontId="19" fillId="0" borderId="20" xfId="4" applyNumberFormat="1" applyFont="1" applyFill="1" applyBorder="1" applyAlignment="1">
      <alignment vertical="center"/>
    </xf>
    <xf numFmtId="40" fontId="36" fillId="0" borderId="20" xfId="3" applyNumberFormat="1" applyFont="1" applyFill="1" applyBorder="1" applyAlignment="1">
      <alignment horizontal="center" vertical="center" wrapText="1"/>
    </xf>
    <xf numFmtId="3" fontId="36" fillId="0" borderId="20" xfId="3" applyNumberFormat="1" applyFont="1" applyFill="1" applyBorder="1" applyAlignment="1">
      <alignment horizontal="center" vertical="center" wrapText="1"/>
    </xf>
    <xf numFmtId="2" fontId="19" fillId="0" borderId="20" xfId="5" applyNumberFormat="1" applyFont="1" applyFill="1" applyBorder="1" applyAlignment="1">
      <alignment horizontal="center" vertical="center"/>
    </xf>
    <xf numFmtId="9" fontId="19" fillId="0" borderId="20" xfId="5" applyNumberFormat="1" applyFont="1" applyFill="1" applyBorder="1" applyAlignment="1">
      <alignment horizontal="center" vertical="center"/>
    </xf>
    <xf numFmtId="9" fontId="19" fillId="13" borderId="20" xfId="5" applyNumberFormat="1" applyFont="1" applyFill="1" applyBorder="1" applyAlignment="1">
      <alignment horizontal="center" vertical="center"/>
    </xf>
    <xf numFmtId="43" fontId="19" fillId="0" borderId="20" xfId="1" applyFont="1" applyFill="1" applyBorder="1" applyAlignment="1">
      <alignment horizontal="center" vertical="center"/>
    </xf>
    <xf numFmtId="0" fontId="19" fillId="0" borderId="20" xfId="3" applyFont="1" applyBorder="1" applyAlignment="1">
      <alignment horizontal="center" vertical="center" wrapText="1"/>
    </xf>
    <xf numFmtId="0" fontId="19" fillId="0" borderId="73" xfId="7" applyFont="1" applyFill="1" applyBorder="1" applyAlignment="1">
      <alignment horizontal="center" vertical="center" wrapText="1"/>
    </xf>
    <xf numFmtId="0" fontId="61" fillId="0" borderId="33" xfId="3" applyFont="1" applyFill="1" applyBorder="1" applyAlignment="1">
      <alignment horizontal="center" vertical="center" wrapText="1"/>
    </xf>
    <xf numFmtId="9" fontId="19" fillId="13" borderId="18" xfId="5" applyNumberFormat="1" applyFont="1" applyFill="1" applyBorder="1" applyAlignment="1">
      <alignment horizontal="center" vertical="center"/>
    </xf>
    <xf numFmtId="43" fontId="19" fillId="0" borderId="18" xfId="1" applyFont="1" applyFill="1" applyBorder="1" applyAlignment="1">
      <alignment vertical="center"/>
    </xf>
    <xf numFmtId="0" fontId="19" fillId="13" borderId="73" xfId="7" applyFont="1" applyFill="1" applyBorder="1" applyAlignment="1">
      <alignment horizontal="center" vertical="center" wrapText="1"/>
    </xf>
    <xf numFmtId="0" fontId="61" fillId="13" borderId="33" xfId="3" applyFont="1" applyFill="1" applyBorder="1" applyAlignment="1">
      <alignment horizontal="center" vertical="center" wrapText="1"/>
    </xf>
    <xf numFmtId="0" fontId="61" fillId="13" borderId="18" xfId="3" applyFont="1" applyFill="1" applyBorder="1" applyAlignment="1">
      <alignment horizontal="center" vertical="center" wrapText="1"/>
    </xf>
    <xf numFmtId="3" fontId="19" fillId="13" borderId="18" xfId="4" applyNumberFormat="1" applyFont="1" applyFill="1" applyBorder="1" applyAlignment="1">
      <alignment vertical="center"/>
    </xf>
    <xf numFmtId="40" fontId="36" fillId="13" borderId="18" xfId="3" applyNumberFormat="1" applyFont="1" applyFill="1" applyBorder="1" applyAlignment="1">
      <alignment horizontal="center" vertical="center" wrapText="1"/>
    </xf>
    <xf numFmtId="3" fontId="36" fillId="13" borderId="18" xfId="3" applyNumberFormat="1" applyFont="1" applyFill="1" applyBorder="1" applyAlignment="1">
      <alignment horizontal="center" vertical="center" wrapText="1"/>
    </xf>
    <xf numFmtId="10" fontId="19" fillId="13" borderId="18" xfId="5" applyNumberFormat="1" applyFont="1" applyFill="1" applyBorder="1" applyAlignment="1">
      <alignment horizontal="center" vertical="center" wrapText="1"/>
    </xf>
    <xf numFmtId="43" fontId="19" fillId="13" borderId="18" xfId="1" applyFont="1" applyFill="1" applyBorder="1" applyAlignment="1">
      <alignment vertical="center"/>
    </xf>
    <xf numFmtId="0" fontId="19" fillId="13" borderId="18" xfId="3" applyFont="1" applyFill="1" applyBorder="1" applyAlignment="1">
      <alignment horizontal="center" vertical="center" wrapText="1"/>
    </xf>
    <xf numFmtId="2" fontId="19" fillId="13" borderId="18" xfId="5" applyNumberFormat="1" applyFont="1" applyFill="1" applyBorder="1" applyAlignment="1">
      <alignment horizontal="center" vertical="center"/>
    </xf>
    <xf numFmtId="167" fontId="36" fillId="0" borderId="18" xfId="3" applyNumberFormat="1" applyFont="1" applyFill="1" applyBorder="1" applyAlignment="1">
      <alignment horizontal="center" vertical="center" wrapText="1"/>
    </xf>
    <xf numFmtId="49" fontId="62" fillId="0" borderId="0" xfId="0" applyNumberFormat="1" applyFont="1" applyAlignment="1">
      <alignment horizontal="center"/>
    </xf>
    <xf numFmtId="0" fontId="62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49" fontId="63" fillId="0" borderId="0" xfId="0" applyNumberFormat="1" applyFont="1" applyAlignment="1">
      <alignment horizontal="right"/>
    </xf>
    <xf numFmtId="49" fontId="19" fillId="0" borderId="39" xfId="0" applyNumberFormat="1" applyFont="1" applyFill="1" applyBorder="1" applyAlignment="1">
      <alignment horizontal="center" vertical="center"/>
    </xf>
    <xf numFmtId="0" fontId="64" fillId="0" borderId="0" xfId="3" applyFont="1" applyAlignment="1">
      <alignment horizontal="right"/>
    </xf>
    <xf numFmtId="168" fontId="22" fillId="0" borderId="18" xfId="1" applyNumberFormat="1" applyFont="1" applyFill="1" applyBorder="1" applyAlignment="1">
      <alignment vertical="center"/>
    </xf>
    <xf numFmtId="164" fontId="22" fillId="0" borderId="18" xfId="1" applyNumberFormat="1" applyFont="1" applyFill="1" applyBorder="1" applyAlignment="1">
      <alignment vertical="center"/>
    </xf>
    <xf numFmtId="164" fontId="22" fillId="0" borderId="29" xfId="1" applyNumberFormat="1" applyFont="1" applyFill="1" applyBorder="1" applyAlignment="1">
      <alignment vertical="center"/>
    </xf>
    <xf numFmtId="164" fontId="22" fillId="0" borderId="43" xfId="1" applyNumberFormat="1" applyFont="1" applyFill="1" applyBorder="1" applyAlignment="1">
      <alignment vertical="center"/>
    </xf>
    <xf numFmtId="3" fontId="23" fillId="0" borderId="37" xfId="1" applyNumberFormat="1" applyFont="1" applyBorder="1" applyAlignment="1">
      <alignment vertical="center"/>
    </xf>
    <xf numFmtId="3" fontId="23" fillId="0" borderId="0" xfId="1" applyNumberFormat="1" applyFont="1" applyBorder="1" applyAlignment="1">
      <alignment vertical="center"/>
    </xf>
    <xf numFmtId="164" fontId="22" fillId="0" borderId="0" xfId="1" applyNumberFormat="1" applyFont="1" applyFill="1" applyBorder="1" applyAlignment="1">
      <alignment vertical="center"/>
    </xf>
    <xf numFmtId="164" fontId="23" fillId="0" borderId="0" xfId="1" applyNumberFormat="1" applyFont="1" applyFill="1" applyBorder="1" applyAlignment="1">
      <alignment vertical="center"/>
    </xf>
    <xf numFmtId="8" fontId="0" fillId="0" borderId="0" xfId="0" applyNumberFormat="1"/>
    <xf numFmtId="3" fontId="23" fillId="0" borderId="37" xfId="1" applyNumberFormat="1" applyFont="1" applyFill="1" applyBorder="1" applyAlignment="1">
      <alignment vertical="center"/>
    </xf>
    <xf numFmtId="0" fontId="36" fillId="6" borderId="13" xfId="0" applyFont="1" applyFill="1" applyBorder="1" applyAlignment="1">
      <alignment horizontal="center" vertical="center" wrapText="1"/>
    </xf>
    <xf numFmtId="165" fontId="7" fillId="0" borderId="0" xfId="2" applyNumberFormat="1" applyFont="1" applyBorder="1" applyAlignment="1"/>
    <xf numFmtId="165" fontId="7" fillId="0" borderId="0" xfId="0" applyNumberFormat="1" applyFont="1" applyBorder="1"/>
    <xf numFmtId="44" fontId="0" fillId="0" borderId="0" xfId="0" applyNumberFormat="1" applyAlignment="1">
      <alignment horizontal="center"/>
    </xf>
    <xf numFmtId="0" fontId="49" fillId="6" borderId="84" xfId="0" applyFont="1" applyFill="1" applyBorder="1" applyAlignment="1">
      <alignment horizontal="center" vertical="center" wrapText="1"/>
    </xf>
    <xf numFmtId="3" fontId="48" fillId="14" borderId="64" xfId="0" applyNumberFormat="1" applyFont="1" applyFill="1" applyBorder="1" applyAlignment="1">
      <alignment horizontal="center" vertical="center"/>
    </xf>
    <xf numFmtId="3" fontId="38" fillId="0" borderId="0" xfId="7" applyNumberFormat="1" applyFont="1"/>
    <xf numFmtId="3" fontId="22" fillId="13" borderId="18" xfId="1" applyNumberFormat="1" applyFont="1" applyFill="1" applyBorder="1" applyAlignment="1">
      <alignment vertical="center"/>
    </xf>
    <xf numFmtId="3" fontId="22" fillId="13" borderId="29" xfId="1" applyNumberFormat="1" applyFont="1" applyFill="1" applyBorder="1" applyAlignment="1">
      <alignment vertical="center"/>
    </xf>
    <xf numFmtId="3" fontId="22" fillId="13" borderId="20" xfId="1" applyNumberFormat="1" applyFont="1" applyFill="1" applyBorder="1" applyAlignment="1">
      <alignment vertical="center"/>
    </xf>
    <xf numFmtId="0" fontId="19" fillId="0" borderId="28" xfId="0" applyFont="1" applyFill="1" applyBorder="1" applyAlignment="1">
      <alignment horizontal="center" vertical="center" wrapText="1"/>
    </xf>
    <xf numFmtId="15" fontId="19" fillId="0" borderId="29" xfId="0" applyNumberFormat="1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/>
    </xf>
    <xf numFmtId="49" fontId="19" fillId="0" borderId="29" xfId="0" applyNumberFormat="1" applyFont="1" applyFill="1" applyBorder="1" applyAlignment="1">
      <alignment horizontal="center" vertical="center"/>
    </xf>
    <xf numFmtId="0" fontId="19" fillId="0" borderId="29" xfId="0" applyFont="1" applyFill="1" applyBorder="1" applyAlignment="1">
      <alignment horizontal="justify" vertical="center" wrapText="1"/>
    </xf>
    <xf numFmtId="3" fontId="33" fillId="0" borderId="29" xfId="4" applyNumberFormat="1" applyFont="1" applyFill="1" applyBorder="1" applyAlignment="1">
      <alignment vertical="center"/>
    </xf>
    <xf numFmtId="3" fontId="19" fillId="0" borderId="29" xfId="4" applyNumberFormat="1" applyFont="1" applyFill="1" applyBorder="1" applyAlignment="1">
      <alignment vertical="center"/>
    </xf>
    <xf numFmtId="40" fontId="19" fillId="0" borderId="29" xfId="4" applyNumberFormat="1" applyFont="1" applyFill="1" applyBorder="1" applyAlignment="1">
      <alignment vertical="center"/>
    </xf>
    <xf numFmtId="4" fontId="19" fillId="0" borderId="29" xfId="4" applyNumberFormat="1" applyFont="1" applyFill="1" applyBorder="1" applyAlignment="1">
      <alignment horizontal="center" vertical="center"/>
    </xf>
    <xf numFmtId="9" fontId="19" fillId="0" borderId="29" xfId="5" applyNumberFormat="1" applyFont="1" applyFill="1" applyBorder="1" applyAlignment="1">
      <alignment horizontal="center" vertical="center"/>
    </xf>
    <xf numFmtId="10" fontId="19" fillId="0" borderId="29" xfId="5" applyNumberFormat="1" applyFont="1" applyFill="1" applyBorder="1" applyAlignment="1">
      <alignment horizontal="center" vertical="center"/>
    </xf>
    <xf numFmtId="2" fontId="19" fillId="0" borderId="29" xfId="5" applyNumberFormat="1" applyFont="1" applyFill="1" applyBorder="1" applyAlignment="1">
      <alignment horizontal="center" vertical="center"/>
    </xf>
    <xf numFmtId="3" fontId="19" fillId="0" borderId="29" xfId="5" applyNumberFormat="1" applyFont="1" applyFill="1" applyBorder="1" applyAlignment="1">
      <alignment horizontal="center" vertical="center"/>
    </xf>
    <xf numFmtId="0" fontId="19" fillId="0" borderId="29" xfId="3" applyFont="1" applyFill="1" applyBorder="1" applyAlignment="1">
      <alignment horizontal="center" vertical="center" wrapText="1"/>
    </xf>
    <xf numFmtId="0" fontId="19" fillId="0" borderId="30" xfId="3" applyFont="1" applyFill="1" applyBorder="1" applyAlignment="1">
      <alignment horizontal="center" vertical="center" wrapText="1"/>
    </xf>
    <xf numFmtId="0" fontId="14" fillId="0" borderId="83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21" fillId="0" borderId="0" xfId="0" applyFont="1" applyFill="1" applyAlignment="1">
      <alignment horizontal="center" vertical="top" wrapText="1"/>
    </xf>
    <xf numFmtId="0" fontId="18" fillId="3" borderId="0" xfId="0" applyFont="1" applyFill="1" applyAlignment="1">
      <alignment horizontal="center" vertical="center"/>
    </xf>
    <xf numFmtId="43" fontId="14" fillId="0" borderId="0" xfId="1" applyFont="1" applyAlignment="1">
      <alignment horizontal="center" wrapText="1"/>
    </xf>
    <xf numFmtId="0" fontId="14" fillId="0" borderId="0" xfId="0" applyFont="1" applyAlignment="1">
      <alignment horizontal="center"/>
    </xf>
    <xf numFmtId="43" fontId="8" fillId="0" borderId="0" xfId="1" applyFont="1" applyAlignment="1">
      <alignment horizontal="center"/>
    </xf>
    <xf numFmtId="43" fontId="14" fillId="0" borderId="0" xfId="1" applyFont="1" applyAlignment="1">
      <alignment horizontal="center"/>
    </xf>
    <xf numFmtId="43" fontId="23" fillId="11" borderId="5" xfId="1" applyFont="1" applyFill="1" applyBorder="1" applyAlignment="1">
      <alignment horizontal="center" vertical="center"/>
    </xf>
    <xf numFmtId="43" fontId="23" fillId="11" borderId="22" xfId="1" applyFont="1" applyFill="1" applyBorder="1" applyAlignment="1">
      <alignment horizontal="center" vertical="center"/>
    </xf>
    <xf numFmtId="43" fontId="23" fillId="11" borderId="6" xfId="1" applyFont="1" applyFill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22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43" fontId="23" fillId="9" borderId="4" xfId="1" applyFont="1" applyFill="1" applyBorder="1" applyAlignment="1">
      <alignment horizontal="center" vertical="center" wrapText="1"/>
    </xf>
    <xf numFmtId="43" fontId="24" fillId="10" borderId="5" xfId="1" applyFont="1" applyFill="1" applyBorder="1" applyAlignment="1">
      <alignment horizontal="center" vertical="center" wrapText="1"/>
    </xf>
    <xf numFmtId="43" fontId="24" fillId="10" borderId="22" xfId="1" applyFont="1" applyFill="1" applyBorder="1" applyAlignment="1">
      <alignment horizontal="center" vertical="center" wrapText="1"/>
    </xf>
    <xf numFmtId="43" fontId="24" fillId="10" borderId="6" xfId="1" applyFont="1" applyFill="1" applyBorder="1" applyAlignment="1">
      <alignment horizontal="center" vertical="center" wrapText="1"/>
    </xf>
    <xf numFmtId="43" fontId="23" fillId="8" borderId="1" xfId="1" applyFont="1" applyFill="1" applyBorder="1" applyAlignment="1">
      <alignment horizontal="center" vertical="top"/>
    </xf>
    <xf numFmtId="43" fontId="23" fillId="8" borderId="2" xfId="1" applyFont="1" applyFill="1" applyBorder="1" applyAlignment="1">
      <alignment horizontal="center" vertical="top"/>
    </xf>
    <xf numFmtId="43" fontId="23" fillId="8" borderId="3" xfId="1" applyFont="1" applyFill="1" applyBorder="1" applyAlignment="1">
      <alignment horizontal="center" vertical="top"/>
    </xf>
    <xf numFmtId="43" fontId="23" fillId="5" borderId="1" xfId="1" applyFont="1" applyFill="1" applyBorder="1" applyAlignment="1">
      <alignment horizontal="center" vertical="center" wrapText="1"/>
    </xf>
    <xf numFmtId="43" fontId="23" fillId="5" borderId="2" xfId="1" applyFont="1" applyFill="1" applyBorder="1" applyAlignment="1">
      <alignment horizontal="center" vertical="center" wrapText="1"/>
    </xf>
    <xf numFmtId="43" fontId="23" fillId="5" borderId="3" xfId="1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top"/>
    </xf>
    <xf numFmtId="43" fontId="26" fillId="5" borderId="5" xfId="1" applyFont="1" applyFill="1" applyBorder="1" applyAlignment="1">
      <alignment horizontal="center" vertical="center" wrapText="1"/>
    </xf>
    <xf numFmtId="43" fontId="26" fillId="5" borderId="6" xfId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43" fontId="23" fillId="8" borderId="1" xfId="1" applyFont="1" applyFill="1" applyBorder="1" applyAlignment="1">
      <alignment horizontal="center" vertical="center"/>
    </xf>
    <xf numFmtId="43" fontId="23" fillId="8" borderId="2" xfId="1" applyFont="1" applyFill="1" applyBorder="1" applyAlignment="1">
      <alignment horizontal="center" vertical="center"/>
    </xf>
    <xf numFmtId="43" fontId="23" fillId="8" borderId="3" xfId="1" applyFont="1" applyFill="1" applyBorder="1" applyAlignment="1">
      <alignment horizontal="center" vertical="center"/>
    </xf>
    <xf numFmtId="0" fontId="23" fillId="7" borderId="23" xfId="0" applyFont="1" applyFill="1" applyBorder="1" applyAlignment="1">
      <alignment horizontal="center" vertical="center"/>
    </xf>
    <xf numFmtId="0" fontId="23" fillId="7" borderId="24" xfId="0" applyFont="1" applyFill="1" applyBorder="1" applyAlignment="1">
      <alignment horizontal="center" vertical="center"/>
    </xf>
    <xf numFmtId="0" fontId="23" fillId="7" borderId="25" xfId="0" applyFont="1" applyFill="1" applyBorder="1" applyAlignment="1">
      <alignment horizontal="center" vertical="center"/>
    </xf>
    <xf numFmtId="0" fontId="23" fillId="7" borderId="26" xfId="0" applyFont="1" applyFill="1" applyBorder="1" applyAlignment="1">
      <alignment horizontal="center" vertical="center"/>
    </xf>
    <xf numFmtId="43" fontId="23" fillId="8" borderId="5" xfId="1" applyFont="1" applyFill="1" applyBorder="1" applyAlignment="1">
      <alignment horizontal="center" vertical="center" wrapText="1"/>
    </xf>
    <xf numFmtId="43" fontId="23" fillId="8" borderId="6" xfId="1" applyFont="1" applyFill="1" applyBorder="1" applyAlignment="1">
      <alignment horizontal="center" vertical="center" wrapText="1"/>
    </xf>
    <xf numFmtId="43" fontId="23" fillId="9" borderId="1" xfId="1" applyFont="1" applyFill="1" applyBorder="1" applyAlignment="1">
      <alignment horizontal="center" vertical="center"/>
    </xf>
    <xf numFmtId="43" fontId="23" fillId="9" borderId="2" xfId="1" applyFont="1" applyFill="1" applyBorder="1" applyAlignment="1">
      <alignment horizontal="center" vertical="center"/>
    </xf>
    <xf numFmtId="43" fontId="23" fillId="9" borderId="3" xfId="1" applyFont="1" applyFill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20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5" fillId="0" borderId="28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3" fontId="35" fillId="12" borderId="7" xfId="3" applyNumberFormat="1" applyFont="1" applyFill="1" applyBorder="1" applyAlignment="1">
      <alignment horizontal="center" vertical="center"/>
    </xf>
    <xf numFmtId="3" fontId="35" fillId="12" borderId="8" xfId="3" applyNumberFormat="1" applyFont="1" applyFill="1" applyBorder="1" applyAlignment="1">
      <alignment horizontal="center" vertical="center"/>
    </xf>
    <xf numFmtId="3" fontId="35" fillId="12" borderId="9" xfId="3" applyNumberFormat="1" applyFont="1" applyFill="1" applyBorder="1" applyAlignment="1">
      <alignment horizontal="center" vertical="center"/>
    </xf>
    <xf numFmtId="40" fontId="35" fillId="12" borderId="10" xfId="3" applyNumberFormat="1" applyFont="1" applyFill="1" applyBorder="1" applyAlignment="1">
      <alignment horizontal="center" vertical="center"/>
    </xf>
    <xf numFmtId="0" fontId="36" fillId="6" borderId="9" xfId="0" applyFont="1" applyFill="1" applyBorder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40" fontId="48" fillId="14" borderId="47" xfId="3" applyNumberFormat="1" applyFont="1" applyFill="1" applyBorder="1" applyAlignment="1">
      <alignment horizontal="center" vertical="center"/>
    </xf>
    <xf numFmtId="40" fontId="48" fillId="14" borderId="70" xfId="3" applyNumberFormat="1" applyFont="1" applyFill="1" applyBorder="1" applyAlignment="1">
      <alignment horizontal="center" vertical="center"/>
    </xf>
    <xf numFmtId="40" fontId="48" fillId="14" borderId="48" xfId="3" applyNumberFormat="1" applyFont="1" applyFill="1" applyBorder="1" applyAlignment="1">
      <alignment horizontal="center" vertical="center"/>
    </xf>
    <xf numFmtId="0" fontId="30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28" xfId="0" applyFont="1" applyBorder="1" applyAlignment="1">
      <alignment horizontal="center" vertical="center"/>
    </xf>
    <xf numFmtId="0" fontId="42" fillId="0" borderId="29" xfId="0" applyFont="1" applyBorder="1" applyAlignment="1">
      <alignment horizontal="center" vertical="center"/>
    </xf>
    <xf numFmtId="3" fontId="48" fillId="14" borderId="64" xfId="3" applyNumberFormat="1" applyFont="1" applyFill="1" applyBorder="1" applyAlignment="1">
      <alignment horizontal="center" vertical="center"/>
    </xf>
    <xf numFmtId="0" fontId="51" fillId="0" borderId="69" xfId="0" applyFont="1" applyFill="1" applyBorder="1" applyAlignment="1">
      <alignment horizontal="left" vertical="center" wrapText="1"/>
    </xf>
    <xf numFmtId="0" fontId="7" fillId="0" borderId="57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30" fillId="3" borderId="0" xfId="0" applyFont="1" applyFill="1" applyAlignment="1">
      <alignment horizontal="center" vertical="top" wrapText="1"/>
    </xf>
    <xf numFmtId="0" fontId="45" fillId="3" borderId="0" xfId="0" applyFont="1" applyFill="1" applyAlignment="1">
      <alignment horizontal="center" vertical="top" wrapText="1"/>
    </xf>
    <xf numFmtId="0" fontId="45" fillId="3" borderId="0" xfId="0" applyFont="1" applyFill="1" applyAlignment="1">
      <alignment horizontal="center" vertical="center"/>
    </xf>
    <xf numFmtId="0" fontId="7" fillId="0" borderId="54" xfId="0" applyFont="1" applyBorder="1" applyAlignment="1">
      <alignment horizontal="center"/>
    </xf>
    <xf numFmtId="0" fontId="7" fillId="0" borderId="55" xfId="0" applyFont="1" applyBorder="1" applyAlignment="1">
      <alignment horizontal="center"/>
    </xf>
    <xf numFmtId="0" fontId="50" fillId="6" borderId="65" xfId="7" applyFont="1" applyFill="1" applyBorder="1" applyAlignment="1">
      <alignment horizontal="center" vertical="center" wrapText="1"/>
    </xf>
    <xf numFmtId="0" fontId="50" fillId="6" borderId="66" xfId="7" applyFont="1" applyFill="1" applyBorder="1" applyAlignment="1">
      <alignment horizontal="center" vertical="center" wrapText="1"/>
    </xf>
    <xf numFmtId="0" fontId="42" fillId="0" borderId="78" xfId="0" applyFont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42" fillId="0" borderId="80" xfId="0" applyFont="1" applyBorder="1" applyAlignment="1">
      <alignment horizontal="center"/>
    </xf>
    <xf numFmtId="0" fontId="42" fillId="0" borderId="81" xfId="0" applyFont="1" applyBorder="1" applyAlignment="1">
      <alignment horizontal="center"/>
    </xf>
    <xf numFmtId="3" fontId="48" fillId="14" borderId="47" xfId="3" applyNumberFormat="1" applyFont="1" applyFill="1" applyBorder="1" applyAlignment="1">
      <alignment horizontal="center" vertical="center"/>
    </xf>
    <xf numFmtId="3" fontId="48" fillId="14" borderId="70" xfId="3" applyNumberFormat="1" applyFont="1" applyFill="1" applyBorder="1" applyAlignment="1">
      <alignment horizontal="center" vertical="center"/>
    </xf>
    <xf numFmtId="3" fontId="48" fillId="14" borderId="48" xfId="3" applyNumberFormat="1" applyFont="1" applyFill="1" applyBorder="1" applyAlignment="1">
      <alignment horizontal="center" vertical="center"/>
    </xf>
    <xf numFmtId="0" fontId="49" fillId="6" borderId="74" xfId="0" applyFont="1" applyFill="1" applyBorder="1" applyAlignment="1">
      <alignment horizontal="center" vertical="center" wrapText="1"/>
    </xf>
    <xf numFmtId="0" fontId="49" fillId="6" borderId="50" xfId="0" applyFont="1" applyFill="1" applyBorder="1" applyAlignment="1">
      <alignment horizontal="center" vertical="center" wrapText="1"/>
    </xf>
    <xf numFmtId="44" fontId="42" fillId="0" borderId="76" xfId="2" applyFont="1" applyBorder="1" applyAlignment="1">
      <alignment horizontal="center"/>
    </xf>
    <xf numFmtId="44" fontId="42" fillId="0" borderId="77" xfId="2" applyFont="1" applyBorder="1" applyAlignment="1">
      <alignment horizontal="center"/>
    </xf>
    <xf numFmtId="44" fontId="42" fillId="0" borderId="18" xfId="2" applyFont="1" applyBorder="1" applyAlignment="1">
      <alignment horizontal="center"/>
    </xf>
    <xf numFmtId="44" fontId="42" fillId="0" borderId="79" xfId="2" applyFont="1" applyBorder="1" applyAlignment="1">
      <alignment horizontal="center"/>
    </xf>
    <xf numFmtId="44" fontId="42" fillId="0" borderId="81" xfId="2" applyFont="1" applyBorder="1" applyAlignment="1">
      <alignment horizontal="center"/>
    </xf>
    <xf numFmtId="44" fontId="42" fillId="0" borderId="82" xfId="2" applyFont="1" applyBorder="1" applyAlignment="1">
      <alignment horizontal="center"/>
    </xf>
    <xf numFmtId="0" fontId="42" fillId="0" borderId="75" xfId="0" applyFont="1" applyBorder="1" applyAlignment="1">
      <alignment horizontal="center"/>
    </xf>
    <xf numFmtId="0" fontId="42" fillId="0" borderId="76" xfId="0" applyFont="1" applyBorder="1" applyAlignment="1">
      <alignment horizontal="center"/>
    </xf>
  </cellXfs>
  <cellStyles count="10">
    <cellStyle name="Millares" xfId="1" builtinId="3"/>
    <cellStyle name="Millares 14 10" xfId="8"/>
    <cellStyle name="Millares 2 3" xfId="4"/>
    <cellStyle name="Millares 32" xfId="6"/>
    <cellStyle name="Moneda" xfId="2" builtinId="4"/>
    <cellStyle name="Normal" xfId="0" builtinId="0"/>
    <cellStyle name="Normal 10" xfId="7"/>
    <cellStyle name="Normal 2" xfId="3"/>
    <cellStyle name="Porcentual 14 10" xfId="9"/>
    <cellStyle name="Porcentual 2 3" xfId="5"/>
  </cellStyles>
  <dxfs count="0"/>
  <tableStyles count="0" defaultTableStyle="TableStyleMedium2" defaultPivotStyle="PivotStyleLight16"/>
  <colors>
    <mruColors>
      <color rgb="FF66FF66"/>
      <color rgb="FFCC99FF"/>
      <color rgb="FFB2B2B2"/>
      <color rgb="FFFFFF66"/>
      <color rgb="FFFF99CC"/>
      <color rgb="FFFF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178346</xdr:rowOff>
    </xdr:from>
    <xdr:to>
      <xdr:col>2</xdr:col>
      <xdr:colOff>1716404</xdr:colOff>
      <xdr:row>6</xdr:row>
      <xdr:rowOff>32844</xdr:rowOff>
    </xdr:to>
    <xdr:pic>
      <xdr:nvPicPr>
        <xdr:cNvPr id="4" name="7 Imagen" descr="D:\Mi Información\Documents\2017\logos Municipio 2017 - 2019\1_2 Heráldica Azul\JPG\6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716" y="720286"/>
          <a:ext cx="1716404" cy="13489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9524</xdr:rowOff>
    </xdr:from>
    <xdr:to>
      <xdr:col>1</xdr:col>
      <xdr:colOff>847725</xdr:colOff>
      <xdr:row>2</xdr:row>
      <xdr:rowOff>638175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0024"/>
          <a:ext cx="1514475" cy="1276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184786</xdr:colOff>
      <xdr:row>0</xdr:row>
      <xdr:rowOff>188595</xdr:rowOff>
    </xdr:from>
    <xdr:to>
      <xdr:col>2</xdr:col>
      <xdr:colOff>20956</xdr:colOff>
      <xdr:row>5</xdr:row>
      <xdr:rowOff>9525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6" y="188595"/>
          <a:ext cx="1341120" cy="9925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</xdr:rowOff>
    </xdr:from>
    <xdr:to>
      <xdr:col>1</xdr:col>
      <xdr:colOff>704849</xdr:colOff>
      <xdr:row>6</xdr:row>
      <xdr:rowOff>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1"/>
          <a:ext cx="1533524" cy="1514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19050</xdr:rowOff>
    </xdr:from>
    <xdr:to>
      <xdr:col>2</xdr:col>
      <xdr:colOff>38100</xdr:colOff>
      <xdr:row>3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9550"/>
          <a:ext cx="151447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38101</xdr:rowOff>
    </xdr:from>
    <xdr:to>
      <xdr:col>1</xdr:col>
      <xdr:colOff>552450</xdr:colOff>
      <xdr:row>3</xdr:row>
      <xdr:rowOff>74414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1"/>
          <a:ext cx="1028700" cy="884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%20Informaci&#243;n/Downloads/reportes%20del%20sistema2019/28junio2019(cierre%20juni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  <sheetName val="Hoja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2:BU57"/>
  <sheetViews>
    <sheetView zoomScale="58" zoomScaleNormal="58" workbookViewId="0">
      <pane xSplit="3" ySplit="11" topLeftCell="D12" activePane="bottomRight" state="frozen"/>
      <selection activeCell="Q4" sqref="Q1:R1048576"/>
      <selection pane="topRight" activeCell="Q4" sqref="Q1:R1048576"/>
      <selection pane="bottomLeft" activeCell="Q4" sqref="Q1:R1048576"/>
      <selection pane="bottomRight" activeCell="D13" sqref="D13:D14"/>
    </sheetView>
  </sheetViews>
  <sheetFormatPr baseColWidth="10" defaultRowHeight="15"/>
  <cols>
    <col min="1" max="1" width="5.5703125" style="9" customWidth="1"/>
    <col min="2" max="2" width="0" hidden="1" customWidth="1"/>
    <col min="3" max="3" width="91.85546875" customWidth="1"/>
    <col min="4" max="4" width="38.5703125" customWidth="1"/>
    <col min="5" max="5" width="26.7109375" customWidth="1"/>
    <col min="6" max="6" width="21.5703125" style="2" hidden="1" customWidth="1"/>
    <col min="7" max="7" width="20.5703125" style="2" hidden="1" customWidth="1"/>
    <col min="8" max="8" width="28.140625" style="2" hidden="1" customWidth="1"/>
    <col min="9" max="9" width="21.28515625" style="2" hidden="1" customWidth="1"/>
    <col min="10" max="10" width="28" style="2" hidden="1" customWidth="1"/>
    <col min="11" max="11" width="22.28515625" style="2" hidden="1" customWidth="1"/>
    <col min="12" max="12" width="23.28515625" style="2" hidden="1" customWidth="1"/>
    <col min="13" max="13" width="24.85546875" style="2" hidden="1" customWidth="1"/>
    <col min="14" max="14" width="23.7109375" style="2" hidden="1" customWidth="1"/>
    <col min="15" max="15" width="19.85546875" style="2" hidden="1" customWidth="1"/>
    <col min="16" max="18" width="20.42578125" style="2" hidden="1" customWidth="1"/>
    <col min="19" max="19" width="26.42578125" style="2" customWidth="1"/>
    <col min="20" max="20" width="24.140625" style="2" customWidth="1"/>
    <col min="21" max="23" width="25.85546875" style="2" customWidth="1"/>
    <col min="24" max="24" width="41.140625" style="9" customWidth="1"/>
    <col min="25" max="25" width="22.28515625" style="9" customWidth="1"/>
    <col min="26" max="26" width="21.5703125" style="37" customWidth="1"/>
    <col min="27" max="27" width="21.85546875" style="9" bestFit="1" customWidth="1"/>
    <col min="28" max="33" width="11.5703125" style="9"/>
    <col min="34" max="34" width="16.42578125" style="9" bestFit="1" customWidth="1"/>
    <col min="35" max="73" width="11.5703125" style="9"/>
  </cols>
  <sheetData>
    <row r="2" spans="1:73" ht="27" customHeight="1">
      <c r="E2" s="25"/>
    </row>
    <row r="4" spans="1:73" s="6" customFormat="1" ht="54" customHeight="1">
      <c r="A4" s="8"/>
      <c r="B4" s="5"/>
      <c r="C4" s="396" t="s">
        <v>802</v>
      </c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6"/>
      <c r="V4" s="396"/>
      <c r="W4" s="396"/>
      <c r="X4" s="396"/>
      <c r="Y4" s="49"/>
      <c r="Z4" s="49"/>
      <c r="AA4" s="44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</row>
    <row r="5" spans="1:73" ht="21.75" customHeight="1">
      <c r="A5" s="8"/>
      <c r="B5" s="3"/>
      <c r="C5" s="397" t="s">
        <v>7</v>
      </c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50"/>
      <c r="Z5" s="50"/>
      <c r="AA5" s="44"/>
    </row>
    <row r="6" spans="1:73" s="6" customFormat="1" ht="26.25">
      <c r="A6" s="4"/>
      <c r="B6" s="7"/>
      <c r="C6" s="372" t="s">
        <v>6</v>
      </c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51"/>
      <c r="Z6" s="51"/>
      <c r="AA6" s="45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</row>
    <row r="7" spans="1:73" ht="15.75">
      <c r="X7" s="327" t="s">
        <v>681</v>
      </c>
    </row>
    <row r="8" spans="1:73" s="32" customFormat="1" ht="23.25">
      <c r="A8" s="31"/>
      <c r="B8" s="398" t="s">
        <v>2</v>
      </c>
      <c r="C8" s="401" t="s">
        <v>9</v>
      </c>
      <c r="D8" s="407" t="s">
        <v>3</v>
      </c>
      <c r="E8" s="408"/>
      <c r="F8" s="404" t="s">
        <v>6</v>
      </c>
      <c r="G8" s="405"/>
      <c r="H8" s="405"/>
      <c r="I8" s="405"/>
      <c r="J8" s="406"/>
      <c r="K8" s="413" t="s">
        <v>46</v>
      </c>
      <c r="L8" s="414"/>
      <c r="M8" s="414"/>
      <c r="N8" s="414"/>
      <c r="O8" s="414"/>
      <c r="P8" s="415"/>
      <c r="Q8" s="377" t="s">
        <v>48</v>
      </c>
      <c r="R8" s="384" t="s">
        <v>42</v>
      </c>
      <c r="S8" s="390" t="s">
        <v>50</v>
      </c>
      <c r="T8" s="391"/>
      <c r="U8" s="391"/>
      <c r="V8" s="391"/>
      <c r="W8" s="392"/>
      <c r="X8" s="380" t="s">
        <v>12</v>
      </c>
      <c r="Y8" s="31"/>
      <c r="Z8" s="37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</row>
    <row r="9" spans="1:73" s="32" customFormat="1" ht="21.75" customHeight="1">
      <c r="A9" s="31"/>
      <c r="B9" s="399"/>
      <c r="C9" s="402"/>
      <c r="D9" s="409"/>
      <c r="E9" s="410"/>
      <c r="F9" s="411" t="s">
        <v>56</v>
      </c>
      <c r="G9" s="387" t="s">
        <v>47</v>
      </c>
      <c r="H9" s="388"/>
      <c r="I9" s="389"/>
      <c r="J9" s="411" t="s">
        <v>43</v>
      </c>
      <c r="K9" s="383" t="s">
        <v>53</v>
      </c>
      <c r="L9" s="383" t="s">
        <v>57</v>
      </c>
      <c r="M9" s="383" t="s">
        <v>55</v>
      </c>
      <c r="N9" s="383" t="s">
        <v>60</v>
      </c>
      <c r="O9" s="383" t="s">
        <v>58</v>
      </c>
      <c r="P9" s="383" t="s">
        <v>59</v>
      </c>
      <c r="Q9" s="378"/>
      <c r="R9" s="385"/>
      <c r="S9" s="394" t="s">
        <v>65</v>
      </c>
      <c r="T9" s="394" t="s">
        <v>64</v>
      </c>
      <c r="U9" s="394" t="s">
        <v>375</v>
      </c>
      <c r="V9" s="394" t="s">
        <v>543</v>
      </c>
      <c r="W9" s="394" t="s">
        <v>63</v>
      </c>
      <c r="X9" s="381"/>
      <c r="Y9" s="31"/>
      <c r="Z9" s="37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</row>
    <row r="10" spans="1:73" s="1" customFormat="1" ht="62.25" customHeight="1">
      <c r="A10" s="10"/>
      <c r="B10" s="400"/>
      <c r="C10" s="403"/>
      <c r="D10" s="47" t="s">
        <v>40</v>
      </c>
      <c r="E10" s="47" t="s">
        <v>4</v>
      </c>
      <c r="F10" s="412"/>
      <c r="G10" s="48" t="s">
        <v>53</v>
      </c>
      <c r="H10" s="48" t="s">
        <v>54</v>
      </c>
      <c r="I10" s="48" t="s">
        <v>55</v>
      </c>
      <c r="J10" s="412"/>
      <c r="K10" s="383"/>
      <c r="L10" s="383"/>
      <c r="M10" s="383"/>
      <c r="N10" s="383"/>
      <c r="O10" s="383"/>
      <c r="P10" s="383"/>
      <c r="Q10" s="379"/>
      <c r="R10" s="386"/>
      <c r="S10" s="395"/>
      <c r="T10" s="395"/>
      <c r="U10" s="395"/>
      <c r="V10" s="395"/>
      <c r="W10" s="395"/>
      <c r="X10" s="382"/>
      <c r="Y10" s="10"/>
      <c r="Z10" s="38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</row>
    <row r="11" spans="1:73" s="1" customFormat="1" ht="15.75" thickBot="1">
      <c r="A11" s="10"/>
      <c r="C11" s="14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4"/>
      <c r="T11" s="14"/>
      <c r="U11" s="14"/>
      <c r="V11" s="14"/>
      <c r="W11" s="14"/>
      <c r="X11" s="10"/>
      <c r="Y11" s="10"/>
      <c r="Z11" s="38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</row>
    <row r="12" spans="1:73" s="30" customFormat="1" ht="35.1" customHeight="1">
      <c r="A12" s="26"/>
      <c r="B12" s="27" t="s">
        <v>1</v>
      </c>
      <c r="C12" s="54" t="s">
        <v>10</v>
      </c>
      <c r="D12" s="351">
        <f>PDM!C5</f>
        <v>166629199</v>
      </c>
      <c r="E12" s="351">
        <f>PDM!C6</f>
        <v>156463575.79999995</v>
      </c>
      <c r="F12" s="55">
        <f>10786621.43+16507888.13+20079983.16+16612728.48+12413120.62</f>
        <v>76400341.820000008</v>
      </c>
      <c r="G12" s="55">
        <f>33291.15+2405095.31+2707312.81+7294915.23</f>
        <v>12440614.5</v>
      </c>
      <c r="H12" s="55">
        <f>1587699.7+1242556.81+2244201.98+4107652.24</f>
        <v>9182110.7300000004</v>
      </c>
      <c r="I12" s="55">
        <f>145629.44+61857.23+220689.17+638963.62</f>
        <v>1067139.46</v>
      </c>
      <c r="J12" s="55">
        <f>SUM(F12:I12)</f>
        <v>99090206.510000005</v>
      </c>
      <c r="K12" s="55"/>
      <c r="L12" s="55"/>
      <c r="M12" s="55"/>
      <c r="N12" s="55"/>
      <c r="O12" s="55"/>
      <c r="P12" s="55"/>
      <c r="Q12" s="55"/>
      <c r="R12" s="55"/>
      <c r="S12" s="55">
        <f>J12</f>
        <v>99090206.510000005</v>
      </c>
      <c r="T12" s="55"/>
      <c r="U12" s="55"/>
      <c r="V12" s="55"/>
      <c r="W12" s="55"/>
      <c r="X12" s="73">
        <f>E12-S12-T12-W12-U12</f>
        <v>57373369.289999947</v>
      </c>
      <c r="Y12" s="28"/>
      <c r="Z12" s="28"/>
      <c r="AA12" s="28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</row>
    <row r="13" spans="1:73" s="30" customFormat="1" ht="35.1" customHeight="1">
      <c r="A13" s="26"/>
      <c r="B13" s="27" t="s">
        <v>0</v>
      </c>
      <c r="C13" s="56" t="s">
        <v>11</v>
      </c>
      <c r="D13" s="349">
        <v>358904.22</v>
      </c>
      <c r="E13" s="349"/>
      <c r="F13" s="46"/>
      <c r="G13" s="46"/>
      <c r="H13" s="46"/>
      <c r="I13" s="46"/>
      <c r="J13" s="46">
        <f t="shared" ref="J13:J27" si="0">SUM(F13:I13)</f>
        <v>0</v>
      </c>
      <c r="K13" s="46"/>
      <c r="L13" s="46"/>
      <c r="M13" s="46"/>
      <c r="N13" s="46"/>
      <c r="O13" s="46"/>
      <c r="P13" s="46"/>
      <c r="Q13" s="46"/>
      <c r="R13" s="46"/>
      <c r="S13" s="333"/>
      <c r="T13" s="72"/>
      <c r="U13" s="46"/>
      <c r="V13" s="46"/>
      <c r="W13" s="333"/>
      <c r="X13" s="74">
        <f>D13-S13-T13-W13</f>
        <v>358904.22</v>
      </c>
      <c r="Y13" s="76">
        <f>D13-X13</f>
        <v>0</v>
      </c>
      <c r="Z13" s="28"/>
      <c r="AA13" s="28"/>
      <c r="AB13" s="26"/>
      <c r="AC13" s="26"/>
      <c r="AD13" s="26"/>
      <c r="AE13" s="26"/>
      <c r="AF13" s="26"/>
      <c r="AG13" s="26"/>
      <c r="AH13" s="28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</row>
    <row r="14" spans="1:73" s="30" customFormat="1" ht="50.25" customHeight="1">
      <c r="A14" s="26"/>
      <c r="B14" s="27">
        <v>2502</v>
      </c>
      <c r="C14" s="57" t="s">
        <v>67</v>
      </c>
      <c r="D14" s="349">
        <v>595426164</v>
      </c>
      <c r="E14" s="349">
        <f>FORTAMUNDF!G23</f>
        <v>592426164</v>
      </c>
      <c r="F14" s="46"/>
      <c r="G14" s="46"/>
      <c r="H14" s="46"/>
      <c r="I14" s="46"/>
      <c r="J14" s="46">
        <f t="shared" si="0"/>
        <v>0</v>
      </c>
      <c r="K14" s="46">
        <f>FORTAMUNDF!J16</f>
        <v>0</v>
      </c>
      <c r="L14" s="46"/>
      <c r="M14" s="46"/>
      <c r="N14" s="46"/>
      <c r="O14" s="46"/>
      <c r="P14" s="46"/>
      <c r="Q14" s="46"/>
      <c r="R14" s="46"/>
      <c r="S14" s="333"/>
      <c r="T14" s="72"/>
      <c r="U14" s="46">
        <f>FORTAMUNDF!P16</f>
        <v>226363598</v>
      </c>
      <c r="V14" s="46">
        <f>FORTAMUNDF!P21</f>
        <v>75427141</v>
      </c>
      <c r="W14" s="333">
        <f>FORTAMUNDF!P17+FORTAMUNDF!P18+FORTAMUNDF!P19+FORTAMUNDF!P20</f>
        <v>54033683.769999996</v>
      </c>
      <c r="X14" s="171">
        <f>D14-S14-T14-W14-U14-V14</f>
        <v>239601741.23000002</v>
      </c>
      <c r="Y14" s="76"/>
      <c r="Z14" s="28"/>
      <c r="AA14" s="29"/>
      <c r="AB14" s="26"/>
      <c r="AC14" s="26"/>
      <c r="AD14" s="26"/>
      <c r="AE14" s="26"/>
      <c r="AF14" s="26"/>
      <c r="AG14" s="26"/>
      <c r="AH14" s="29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</row>
    <row r="15" spans="1:73" s="26" customFormat="1" ht="35.1" customHeight="1">
      <c r="B15" s="71">
        <v>25015520</v>
      </c>
      <c r="C15" s="56" t="s">
        <v>68</v>
      </c>
      <c r="D15" s="349">
        <v>145882796</v>
      </c>
      <c r="E15" s="349">
        <f>FISMDF!C8</f>
        <v>125082993.08999999</v>
      </c>
      <c r="F15" s="332">
        <v>8432089.25</v>
      </c>
      <c r="G15" s="46"/>
      <c r="H15" s="46"/>
      <c r="I15" s="46">
        <v>308485</v>
      </c>
      <c r="J15" s="46">
        <f t="shared" si="0"/>
        <v>8740574.25</v>
      </c>
      <c r="K15" s="46"/>
      <c r="L15" s="46"/>
      <c r="M15" s="46"/>
      <c r="N15" s="46"/>
      <c r="O15" s="46"/>
      <c r="P15" s="46"/>
      <c r="Q15" s="46"/>
      <c r="R15" s="46"/>
      <c r="S15" s="333">
        <f>J15+839962</f>
        <v>9580536.25</v>
      </c>
      <c r="T15" s="72"/>
      <c r="U15" s="46"/>
      <c r="V15" s="46"/>
      <c r="W15" s="333">
        <f>9837520.67-839962</f>
        <v>8997558.6699999999</v>
      </c>
      <c r="X15" s="75">
        <f>D15-J15-W15</f>
        <v>128144663.08</v>
      </c>
      <c r="Y15" s="76"/>
      <c r="Z15" s="28"/>
      <c r="AA15" s="29"/>
    </row>
    <row r="16" spans="1:73" s="30" customFormat="1" ht="35.1" customHeight="1">
      <c r="A16" s="26"/>
      <c r="B16" s="27">
        <v>2505</v>
      </c>
      <c r="C16" s="56" t="s">
        <v>69</v>
      </c>
      <c r="D16" s="349">
        <v>10000000</v>
      </c>
      <c r="E16" s="349"/>
      <c r="F16" s="46"/>
      <c r="G16" s="46"/>
      <c r="H16" s="46"/>
      <c r="I16" s="46"/>
      <c r="J16" s="46">
        <f t="shared" ref="J16" si="1">SUM(F16:I16)</f>
        <v>0</v>
      </c>
      <c r="K16" s="46"/>
      <c r="L16" s="46"/>
      <c r="M16" s="46"/>
      <c r="N16" s="46"/>
      <c r="O16" s="46"/>
      <c r="P16" s="46"/>
      <c r="Q16" s="46"/>
      <c r="R16" s="46"/>
      <c r="S16" s="333"/>
      <c r="T16" s="72"/>
      <c r="U16" s="333"/>
      <c r="V16" s="333"/>
      <c r="W16" s="333"/>
      <c r="X16" s="75">
        <f>D16-J16-W16</f>
        <v>10000000</v>
      </c>
      <c r="Y16" s="76">
        <f t="shared" ref="Y16:Y27" si="2">D16-X16</f>
        <v>0</v>
      </c>
      <c r="Z16" s="28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</row>
    <row r="17" spans="1:73" s="30" customFormat="1" ht="35.1" customHeight="1">
      <c r="A17" s="26"/>
      <c r="B17" s="27">
        <v>2505</v>
      </c>
      <c r="C17" s="56" t="s">
        <v>70</v>
      </c>
      <c r="D17" s="349">
        <v>59440000</v>
      </c>
      <c r="E17" s="46"/>
      <c r="F17" s="46"/>
      <c r="G17" s="46"/>
      <c r="H17" s="46"/>
      <c r="I17" s="46"/>
      <c r="J17" s="46">
        <f t="shared" si="0"/>
        <v>0</v>
      </c>
      <c r="K17" s="46"/>
      <c r="L17" s="46"/>
      <c r="M17" s="46"/>
      <c r="N17" s="46"/>
      <c r="O17" s="46"/>
      <c r="P17" s="46"/>
      <c r="Q17" s="46"/>
      <c r="R17" s="46"/>
      <c r="S17" s="333"/>
      <c r="T17" s="72"/>
      <c r="U17" s="333"/>
      <c r="V17" s="333"/>
      <c r="W17" s="333"/>
      <c r="X17" s="75">
        <f>D17-J17-W17</f>
        <v>59440000</v>
      </c>
      <c r="Y17" s="76">
        <f t="shared" si="2"/>
        <v>0</v>
      </c>
      <c r="Z17" s="28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</row>
    <row r="18" spans="1:73" s="30" customFormat="1" ht="35.1" customHeight="1">
      <c r="A18" s="26"/>
      <c r="B18" s="27"/>
      <c r="C18" s="57" t="s">
        <v>71</v>
      </c>
      <c r="D18" s="349">
        <v>1580000</v>
      </c>
      <c r="E18" s="46"/>
      <c r="F18" s="46"/>
      <c r="G18" s="46"/>
      <c r="H18" s="46"/>
      <c r="I18" s="46"/>
      <c r="J18" s="46">
        <f>SUM(F18:I18)</f>
        <v>0</v>
      </c>
      <c r="K18" s="46"/>
      <c r="L18" s="46"/>
      <c r="M18" s="46"/>
      <c r="N18" s="46"/>
      <c r="O18" s="46"/>
      <c r="P18" s="46"/>
      <c r="Q18" s="46"/>
      <c r="R18" s="46"/>
      <c r="S18" s="333">
        <v>0</v>
      </c>
      <c r="T18" s="72"/>
      <c r="U18" s="333"/>
      <c r="V18" s="333"/>
      <c r="W18" s="333"/>
      <c r="X18" s="75">
        <f t="shared" ref="X18:X24" si="3">D18-J18-W18</f>
        <v>1580000</v>
      </c>
      <c r="Y18" s="76">
        <f t="shared" si="2"/>
        <v>0</v>
      </c>
      <c r="Z18" s="28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</row>
    <row r="19" spans="1:73" s="30" customFormat="1" ht="35.1" customHeight="1">
      <c r="A19" s="26"/>
      <c r="B19" s="27">
        <v>2510</v>
      </c>
      <c r="C19" s="56" t="s">
        <v>72</v>
      </c>
      <c r="D19" s="349">
        <v>15300000</v>
      </c>
      <c r="E19" s="46"/>
      <c r="F19" s="46"/>
      <c r="G19" s="46"/>
      <c r="H19" s="46"/>
      <c r="I19" s="46"/>
      <c r="J19" s="46">
        <f t="shared" si="0"/>
        <v>0</v>
      </c>
      <c r="K19" s="46"/>
      <c r="L19" s="46"/>
      <c r="M19" s="46"/>
      <c r="N19" s="46"/>
      <c r="O19" s="46"/>
      <c r="P19" s="46"/>
      <c r="Q19" s="46"/>
      <c r="R19" s="46"/>
      <c r="S19" s="333">
        <f t="shared" ref="S19:S27" si="4">SUM(J19:R19)</f>
        <v>0</v>
      </c>
      <c r="T19" s="72"/>
      <c r="U19" s="333">
        <v>0</v>
      </c>
      <c r="V19" s="333"/>
      <c r="W19" s="333">
        <v>0</v>
      </c>
      <c r="X19" s="75">
        <f t="shared" si="3"/>
        <v>15300000</v>
      </c>
      <c r="Y19" s="76">
        <f t="shared" si="2"/>
        <v>0</v>
      </c>
      <c r="Z19" s="28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</row>
    <row r="20" spans="1:73" s="30" customFormat="1" ht="35.1" customHeight="1">
      <c r="A20" s="26"/>
      <c r="B20" s="27">
        <v>2519</v>
      </c>
      <c r="C20" s="56" t="s">
        <v>287</v>
      </c>
      <c r="D20" s="349">
        <f>120000+120000</f>
        <v>240000</v>
      </c>
      <c r="E20" s="46">
        <v>240000</v>
      </c>
      <c r="F20" s="46"/>
      <c r="G20" s="46"/>
      <c r="H20" s="46"/>
      <c r="I20" s="46"/>
      <c r="J20" s="46">
        <f t="shared" ref="J20" si="5">SUM(F20:I20)</f>
        <v>0</v>
      </c>
      <c r="K20" s="46"/>
      <c r="L20" s="46"/>
      <c r="M20" s="46"/>
      <c r="N20" s="46"/>
      <c r="O20" s="46"/>
      <c r="P20" s="46"/>
      <c r="Q20" s="46"/>
      <c r="R20" s="46"/>
      <c r="S20" s="333">
        <f t="shared" ref="S20" si="6">SUM(J20:R20)</f>
        <v>0</v>
      </c>
      <c r="T20" s="72"/>
      <c r="U20" s="333">
        <f t="shared" ref="U20:U21" si="7">SUM(I20:Q20)</f>
        <v>0</v>
      </c>
      <c r="V20" s="333"/>
      <c r="W20" s="333">
        <f>SUM(J20:R20)</f>
        <v>0</v>
      </c>
      <c r="X20" s="75">
        <f t="shared" si="3"/>
        <v>240000</v>
      </c>
      <c r="Y20" s="76">
        <f t="shared" si="2"/>
        <v>0</v>
      </c>
      <c r="Z20" s="28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</row>
    <row r="21" spans="1:73" s="30" customFormat="1" ht="35.1" customHeight="1">
      <c r="A21" s="26"/>
      <c r="B21" s="27">
        <v>2519</v>
      </c>
      <c r="C21" s="56" t="s">
        <v>286</v>
      </c>
      <c r="D21" s="349">
        <v>120000</v>
      </c>
      <c r="E21" s="46">
        <v>120000</v>
      </c>
      <c r="F21" s="46"/>
      <c r="G21" s="46"/>
      <c r="H21" s="46"/>
      <c r="I21" s="46"/>
      <c r="J21" s="46">
        <f t="shared" ref="J21" si="8">SUM(F21:I21)</f>
        <v>0</v>
      </c>
      <c r="K21" s="46"/>
      <c r="L21" s="46"/>
      <c r="M21" s="46"/>
      <c r="N21" s="46"/>
      <c r="O21" s="46"/>
      <c r="P21" s="46"/>
      <c r="Q21" s="46"/>
      <c r="R21" s="46"/>
      <c r="S21" s="333">
        <f t="shared" ref="S21" si="9">SUM(J21:R21)</f>
        <v>0</v>
      </c>
      <c r="T21" s="72"/>
      <c r="U21" s="333">
        <f t="shared" si="7"/>
        <v>0</v>
      </c>
      <c r="V21" s="333"/>
      <c r="W21" s="333">
        <f>SUM(J21:R21)</f>
        <v>0</v>
      </c>
      <c r="X21" s="75">
        <f>D21-J21-W21</f>
        <v>120000</v>
      </c>
      <c r="Y21" s="76">
        <f t="shared" ref="Y21" si="10">D21-X21</f>
        <v>0</v>
      </c>
      <c r="Z21" s="28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</row>
    <row r="22" spans="1:73" s="30" customFormat="1" ht="35.1" customHeight="1">
      <c r="A22" s="26"/>
      <c r="B22" s="27">
        <v>2519</v>
      </c>
      <c r="C22" s="56" t="s">
        <v>251</v>
      </c>
      <c r="D22" s="349">
        <v>500000</v>
      </c>
      <c r="E22" s="46"/>
      <c r="F22" s="46"/>
      <c r="G22" s="46"/>
      <c r="H22" s="46"/>
      <c r="I22" s="46"/>
      <c r="J22" s="46">
        <f t="shared" si="0"/>
        <v>0</v>
      </c>
      <c r="K22" s="46"/>
      <c r="L22" s="46"/>
      <c r="M22" s="46"/>
      <c r="N22" s="46"/>
      <c r="O22" s="46"/>
      <c r="P22" s="46"/>
      <c r="Q22" s="46"/>
      <c r="R22" s="46"/>
      <c r="S22" s="333">
        <f t="shared" si="4"/>
        <v>0</v>
      </c>
      <c r="T22" s="72"/>
      <c r="U22" s="333">
        <f t="shared" ref="U22:U27" si="11">SUM(I22:Q22)</f>
        <v>0</v>
      </c>
      <c r="V22" s="333"/>
      <c r="W22" s="333">
        <f>SUM(J22:R22)</f>
        <v>0</v>
      </c>
      <c r="X22" s="75">
        <f>D22-J22-W22</f>
        <v>500000</v>
      </c>
      <c r="Y22" s="76">
        <f t="shared" si="2"/>
        <v>0</v>
      </c>
      <c r="Z22" s="28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</row>
    <row r="23" spans="1:73" s="30" customFormat="1" ht="35.1" customHeight="1">
      <c r="A23" s="26"/>
      <c r="B23" s="27">
        <v>5321</v>
      </c>
      <c r="C23" s="57" t="s">
        <v>275</v>
      </c>
      <c r="D23" s="349">
        <v>6750000</v>
      </c>
      <c r="E23" s="46"/>
      <c r="F23" s="46"/>
      <c r="G23" s="46"/>
      <c r="H23" s="46"/>
      <c r="I23" s="46"/>
      <c r="J23" s="46">
        <f t="shared" ref="J23" si="12">SUM(F23:I23)</f>
        <v>0</v>
      </c>
      <c r="K23" s="46"/>
      <c r="L23" s="46"/>
      <c r="M23" s="46"/>
      <c r="N23" s="46"/>
      <c r="O23" s="46"/>
      <c r="P23" s="46"/>
      <c r="Q23" s="46"/>
      <c r="R23" s="46"/>
      <c r="S23" s="333">
        <v>0</v>
      </c>
      <c r="T23" s="72"/>
      <c r="U23" s="46"/>
      <c r="V23" s="46"/>
      <c r="W23" s="46"/>
      <c r="X23" s="75">
        <f t="shared" si="3"/>
        <v>6750000</v>
      </c>
      <c r="Y23" s="76">
        <f t="shared" si="2"/>
        <v>0</v>
      </c>
      <c r="Z23" s="28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</row>
    <row r="24" spans="1:73" s="30" customFormat="1" ht="35.1" customHeight="1">
      <c r="A24" s="26"/>
      <c r="B24" s="27">
        <v>5321</v>
      </c>
      <c r="C24" s="57" t="s">
        <v>73</v>
      </c>
      <c r="D24" s="349">
        <v>1000000</v>
      </c>
      <c r="E24" s="46"/>
      <c r="F24" s="46"/>
      <c r="G24" s="46"/>
      <c r="H24" s="46"/>
      <c r="I24" s="46"/>
      <c r="J24" s="46">
        <f t="shared" si="0"/>
        <v>0</v>
      </c>
      <c r="K24" s="46"/>
      <c r="L24" s="46"/>
      <c r="M24" s="46"/>
      <c r="N24" s="46"/>
      <c r="O24" s="46"/>
      <c r="P24" s="46"/>
      <c r="Q24" s="46"/>
      <c r="R24" s="46"/>
      <c r="S24" s="333">
        <v>0</v>
      </c>
      <c r="T24" s="72"/>
      <c r="U24" s="46"/>
      <c r="V24" s="46"/>
      <c r="W24" s="46"/>
      <c r="X24" s="75">
        <f t="shared" si="3"/>
        <v>1000000</v>
      </c>
      <c r="Y24" s="76">
        <f t="shared" si="2"/>
        <v>0</v>
      </c>
      <c r="Z24" s="28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</row>
    <row r="25" spans="1:73" s="30" customFormat="1" ht="48.75" customHeight="1">
      <c r="A25" s="26"/>
      <c r="B25" s="27">
        <v>5523</v>
      </c>
      <c r="C25" s="57" t="s">
        <v>74</v>
      </c>
      <c r="D25" s="349">
        <v>33068519</v>
      </c>
      <c r="E25" s="46">
        <v>33068519</v>
      </c>
      <c r="F25" s="46"/>
      <c r="G25" s="46"/>
      <c r="H25" s="46"/>
      <c r="I25" s="46"/>
      <c r="J25" s="46">
        <f t="shared" ref="J25" si="13">SUM(F25:I25)</f>
        <v>0</v>
      </c>
      <c r="K25" s="46"/>
      <c r="L25" s="46"/>
      <c r="M25" s="46"/>
      <c r="N25" s="46"/>
      <c r="O25" s="46"/>
      <c r="P25" s="46"/>
      <c r="Q25" s="46"/>
      <c r="R25" s="46"/>
      <c r="S25" s="333">
        <v>0</v>
      </c>
      <c r="T25" s="72"/>
      <c r="U25" s="46"/>
      <c r="V25" s="46"/>
      <c r="W25" s="46">
        <f>FORTASEG!L20</f>
        <v>4213117</v>
      </c>
      <c r="X25" s="75">
        <f>D25-W25</f>
        <v>28855402</v>
      </c>
      <c r="Y25" s="76"/>
      <c r="Z25" s="28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</row>
    <row r="26" spans="1:73" s="30" customFormat="1" ht="48.75" customHeight="1">
      <c r="A26" s="26"/>
      <c r="B26" s="27">
        <v>5523</v>
      </c>
      <c r="C26" s="57" t="s">
        <v>75</v>
      </c>
      <c r="D26" s="349">
        <v>6613703.7999999998</v>
      </c>
      <c r="E26" s="46">
        <v>6613703.7999999998</v>
      </c>
      <c r="F26" s="46"/>
      <c r="G26" s="46"/>
      <c r="H26" s="46"/>
      <c r="I26" s="46"/>
      <c r="J26" s="46">
        <f t="shared" si="0"/>
        <v>0</v>
      </c>
      <c r="K26" s="46">
        <v>2427316</v>
      </c>
      <c r="L26" s="46"/>
      <c r="M26" s="46"/>
      <c r="N26" s="46"/>
      <c r="O26" s="46"/>
      <c r="P26" s="46"/>
      <c r="Q26" s="46"/>
      <c r="R26" s="46"/>
      <c r="S26" s="333">
        <v>0</v>
      </c>
      <c r="T26" s="72"/>
      <c r="U26" s="46">
        <f>FORTASEG!M20</f>
        <v>2427315.91</v>
      </c>
      <c r="V26" s="46"/>
      <c r="W26" s="46"/>
      <c r="X26" s="75">
        <f>D26-U26</f>
        <v>4186387.8899999997</v>
      </c>
      <c r="Y26" s="76">
        <v>0</v>
      </c>
      <c r="Z26" s="28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</row>
    <row r="27" spans="1:73" s="30" customFormat="1" ht="35.1" customHeight="1" thickBot="1">
      <c r="A27" s="26"/>
      <c r="B27" s="27"/>
      <c r="C27" s="147" t="s">
        <v>49</v>
      </c>
      <c r="D27" s="350">
        <v>200000</v>
      </c>
      <c r="E27" s="148"/>
      <c r="F27" s="148"/>
      <c r="G27" s="148"/>
      <c r="H27" s="148"/>
      <c r="I27" s="148"/>
      <c r="J27" s="148">
        <f t="shared" si="0"/>
        <v>0</v>
      </c>
      <c r="K27" s="148"/>
      <c r="L27" s="148"/>
      <c r="M27" s="148"/>
      <c r="N27" s="148"/>
      <c r="O27" s="148"/>
      <c r="P27" s="148"/>
      <c r="Q27" s="148"/>
      <c r="R27" s="148"/>
      <c r="S27" s="334">
        <f t="shared" si="4"/>
        <v>0</v>
      </c>
      <c r="T27" s="149"/>
      <c r="U27" s="334">
        <f t="shared" si="11"/>
        <v>0</v>
      </c>
      <c r="V27" s="334"/>
      <c r="W27" s="334">
        <f>SUM(J27:R27)</f>
        <v>0</v>
      </c>
      <c r="X27" s="150">
        <f>D27-W27</f>
        <v>200000</v>
      </c>
      <c r="Y27" s="76">
        <f t="shared" si="2"/>
        <v>0</v>
      </c>
      <c r="Z27" s="28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</row>
    <row r="28" spans="1:73" s="30" customFormat="1" ht="50.25" customHeight="1" thickBot="1">
      <c r="A28" s="26"/>
      <c r="C28" s="368" t="s">
        <v>799</v>
      </c>
      <c r="D28" s="341">
        <f t="shared" ref="D28:T28" si="14">SUM(D12:D27)</f>
        <v>1043109286.02</v>
      </c>
      <c r="E28" s="341">
        <f t="shared" si="14"/>
        <v>914014955.68999994</v>
      </c>
      <c r="F28" s="52">
        <f t="shared" si="14"/>
        <v>84832431.070000008</v>
      </c>
      <c r="G28" s="53">
        <f t="shared" si="14"/>
        <v>12440614.5</v>
      </c>
      <c r="H28" s="53">
        <f t="shared" si="14"/>
        <v>9182110.7300000004</v>
      </c>
      <c r="I28" s="53">
        <f t="shared" si="14"/>
        <v>1375624.46</v>
      </c>
      <c r="J28" s="53">
        <f t="shared" si="14"/>
        <v>107830780.76000001</v>
      </c>
      <c r="K28" s="53">
        <f t="shared" si="14"/>
        <v>2427316</v>
      </c>
      <c r="L28" s="53">
        <f t="shared" si="14"/>
        <v>0</v>
      </c>
      <c r="M28" s="53">
        <f t="shared" si="14"/>
        <v>0</v>
      </c>
      <c r="N28" s="53">
        <f t="shared" si="14"/>
        <v>0</v>
      </c>
      <c r="O28" s="53">
        <f t="shared" si="14"/>
        <v>0</v>
      </c>
      <c r="P28" s="53">
        <f t="shared" si="14"/>
        <v>0</v>
      </c>
      <c r="Q28" s="53">
        <f t="shared" si="14"/>
        <v>0</v>
      </c>
      <c r="R28" s="53">
        <f t="shared" si="14"/>
        <v>0</v>
      </c>
      <c r="S28" s="336">
        <f t="shared" si="14"/>
        <v>108670742.76000001</v>
      </c>
      <c r="T28" s="335">
        <f t="shared" si="14"/>
        <v>0</v>
      </c>
      <c r="U28" s="172">
        <f t="shared" ref="U28:W28" si="15">SUM(U12:U27)</f>
        <v>228790913.91</v>
      </c>
      <c r="V28" s="172">
        <f t="shared" si="15"/>
        <v>75427141</v>
      </c>
      <c r="W28" s="172">
        <f t="shared" si="15"/>
        <v>67244359.439999998</v>
      </c>
      <c r="X28" s="336">
        <f>SUM(X12:X27)</f>
        <v>553650467.70999992</v>
      </c>
      <c r="Y28" s="26"/>
      <c r="Z28" s="28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</row>
    <row r="29" spans="1:73" s="30" customFormat="1" ht="50.25" customHeight="1" thickTop="1">
      <c r="A29" s="26"/>
      <c r="C29" s="369"/>
      <c r="D29" s="59"/>
      <c r="E29" s="59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337"/>
      <c r="T29" s="338"/>
      <c r="U29" s="339"/>
      <c r="V29" s="339"/>
      <c r="W29" s="339"/>
      <c r="X29" s="339"/>
      <c r="Y29" s="26"/>
      <c r="Z29" s="28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</row>
    <row r="30" spans="1:73" s="30" customFormat="1" ht="35.1" customHeight="1">
      <c r="A30" s="26"/>
      <c r="C30" s="370"/>
      <c r="D30" s="59"/>
      <c r="E30" s="59"/>
      <c r="F30" s="59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26"/>
      <c r="Z30" s="28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</row>
    <row r="31" spans="1:73" s="30" customFormat="1" ht="35.1" customHeight="1">
      <c r="A31" s="26"/>
      <c r="C31" s="33"/>
      <c r="D31" s="59"/>
      <c r="E31" s="59"/>
      <c r="F31" s="59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26"/>
      <c r="Z31" s="28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</row>
    <row r="32" spans="1:73" ht="35.1" customHeight="1" thickBot="1">
      <c r="C32" s="58"/>
      <c r="D32" s="34"/>
      <c r="E32" s="68"/>
      <c r="F32" s="59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66"/>
      <c r="T32" s="61"/>
      <c r="U32" s="61"/>
      <c r="V32" s="61"/>
      <c r="W32" s="61"/>
      <c r="X32" s="65"/>
    </row>
    <row r="33" spans="3:25" ht="23.25" customHeight="1" thickTop="1">
      <c r="C33" s="164" t="s">
        <v>61</v>
      </c>
      <c r="D33" s="62"/>
      <c r="E33" s="63"/>
      <c r="F33" s="59"/>
      <c r="G33" s="62"/>
      <c r="H33" s="34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393" t="s">
        <v>44</v>
      </c>
      <c r="T33" s="393"/>
      <c r="U33" s="393"/>
      <c r="V33" s="393"/>
      <c r="W33" s="393"/>
      <c r="X33" s="65"/>
    </row>
    <row r="34" spans="3:25" s="163" customFormat="1" ht="33.75" customHeight="1">
      <c r="C34" s="164" t="s">
        <v>8</v>
      </c>
      <c r="D34" s="165"/>
      <c r="E34" s="165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371" t="s">
        <v>62</v>
      </c>
      <c r="T34" s="371"/>
      <c r="U34" s="371"/>
      <c r="V34" s="371"/>
      <c r="W34" s="371"/>
    </row>
    <row r="35" spans="3:25" ht="20.25">
      <c r="C35" s="64"/>
      <c r="D35" s="62"/>
      <c r="E35" s="69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371"/>
      <c r="T35" s="371"/>
      <c r="U35" s="371"/>
      <c r="V35" s="371"/>
      <c r="W35" s="371"/>
    </row>
    <row r="36" spans="3:25">
      <c r="C36" s="16"/>
      <c r="D36" s="17"/>
      <c r="E36" s="1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3:25" hidden="1">
      <c r="C37" s="16"/>
      <c r="D37" s="16"/>
      <c r="E37" s="16"/>
      <c r="F37" s="17"/>
      <c r="G37" s="17"/>
      <c r="H37" s="17"/>
      <c r="I37" s="17"/>
      <c r="J37" s="17"/>
      <c r="K37" s="17"/>
      <c r="L37" s="17"/>
      <c r="M37" s="17"/>
      <c r="N37" s="375"/>
      <c r="O37" s="375"/>
      <c r="P37" s="375"/>
      <c r="Q37" s="375"/>
      <c r="R37" s="375"/>
      <c r="S37" s="17"/>
      <c r="T37" s="17"/>
      <c r="U37" s="17"/>
      <c r="V37" s="17"/>
      <c r="W37" s="17"/>
    </row>
    <row r="38" spans="3:25" ht="15.75" hidden="1">
      <c r="C38" s="374"/>
      <c r="D38" s="374"/>
      <c r="E38" s="16"/>
      <c r="F38" s="17"/>
      <c r="G38" s="17"/>
      <c r="H38" s="17"/>
      <c r="I38" s="17"/>
      <c r="J38" s="17"/>
      <c r="K38" s="17"/>
      <c r="L38" s="17"/>
      <c r="M38" s="23"/>
      <c r="N38" s="376" t="s">
        <v>44</v>
      </c>
      <c r="O38" s="376"/>
      <c r="P38" s="376"/>
      <c r="Q38" s="376"/>
      <c r="R38" s="376"/>
      <c r="S38" s="376"/>
      <c r="T38" s="376"/>
      <c r="U38" s="376"/>
      <c r="V38" s="376"/>
      <c r="W38" s="376"/>
    </row>
    <row r="39" spans="3:25" ht="15" hidden="1" customHeight="1">
      <c r="C39" s="374"/>
      <c r="D39" s="374"/>
      <c r="E39" s="16"/>
      <c r="F39" s="17"/>
      <c r="G39" s="17"/>
      <c r="H39" s="17"/>
      <c r="I39" s="17"/>
      <c r="J39" s="17"/>
      <c r="K39" s="17"/>
      <c r="L39" s="17"/>
      <c r="M39" s="24"/>
      <c r="N39" s="373" t="s">
        <v>45</v>
      </c>
      <c r="O39" s="373"/>
      <c r="P39" s="373"/>
      <c r="Q39" s="373"/>
      <c r="R39" s="373"/>
      <c r="S39" s="373"/>
      <c r="T39" s="373"/>
      <c r="U39" s="373"/>
      <c r="V39" s="373"/>
      <c r="W39" s="373"/>
    </row>
    <row r="40" spans="3:25" hidden="1">
      <c r="C40" s="16"/>
      <c r="D40" s="16"/>
      <c r="E40" s="16"/>
      <c r="F40" s="17"/>
      <c r="G40" s="17"/>
      <c r="H40" s="17"/>
      <c r="I40" s="17"/>
      <c r="J40" s="17"/>
      <c r="K40" s="17"/>
      <c r="L40" s="17"/>
      <c r="M40" s="24"/>
      <c r="N40" s="373"/>
      <c r="O40" s="373"/>
      <c r="P40" s="373"/>
      <c r="Q40" s="373"/>
      <c r="R40" s="373"/>
      <c r="S40" s="373"/>
      <c r="T40" s="373"/>
      <c r="U40" s="373"/>
      <c r="V40" s="373"/>
      <c r="W40" s="373"/>
    </row>
    <row r="41" spans="3:25">
      <c r="C41" s="19"/>
      <c r="D41" s="17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Y41" s="70"/>
    </row>
    <row r="42" spans="3:25">
      <c r="C42" s="16"/>
      <c r="D42" s="17"/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3:25">
      <c r="C43" s="16"/>
      <c r="D43" s="17"/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9"/>
      <c r="P43" s="19"/>
      <c r="Q43" s="19"/>
      <c r="R43" s="19"/>
      <c r="S43" s="17"/>
      <c r="T43" s="17"/>
      <c r="U43" s="17"/>
      <c r="V43" s="17"/>
      <c r="W43" s="17"/>
    </row>
    <row r="44" spans="3:25">
      <c r="C44" s="16"/>
      <c r="D44" s="18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3:25" ht="24.95" customHeight="1">
      <c r="C45" s="2"/>
      <c r="D45" s="13"/>
      <c r="K45" s="20"/>
      <c r="L45" s="20"/>
      <c r="M45" s="20"/>
      <c r="N45" s="21"/>
      <c r="O45" s="21"/>
      <c r="Q45" s="21"/>
    </row>
    <row r="46" spans="3:25" ht="24.95" customHeight="1">
      <c r="K46" s="20"/>
      <c r="L46" s="20"/>
      <c r="M46" s="20"/>
      <c r="N46" s="22"/>
      <c r="O46" s="21"/>
      <c r="P46" s="21"/>
      <c r="Q46" s="21"/>
    </row>
    <row r="47" spans="3:25" ht="24.95" customHeight="1">
      <c r="K47" s="3"/>
      <c r="L47" s="3"/>
      <c r="M47" s="3"/>
      <c r="N47" s="22"/>
      <c r="O47" s="21"/>
      <c r="Q47" s="21"/>
    </row>
    <row r="48" spans="3:25" ht="24.95" customHeight="1">
      <c r="K48" s="3"/>
      <c r="L48" s="3"/>
      <c r="M48" s="3"/>
      <c r="N48" s="22"/>
      <c r="O48" s="21"/>
      <c r="P48" s="297"/>
      <c r="Q48" s="21"/>
    </row>
    <row r="49" spans="3:16" ht="24.95" customHeight="1">
      <c r="P49" s="295"/>
    </row>
    <row r="50" spans="3:16" ht="24.95" customHeight="1">
      <c r="C50" s="340"/>
      <c r="P50" s="295"/>
    </row>
    <row r="51" spans="3:16" ht="24.95" customHeight="1">
      <c r="C51" s="2"/>
      <c r="O51" s="295"/>
      <c r="P51" s="295"/>
    </row>
    <row r="52" spans="3:16" ht="24.95" customHeight="1">
      <c r="C52" s="13"/>
      <c r="O52" s="295"/>
    </row>
    <row r="53" spans="3:16" ht="24.95" customHeight="1">
      <c r="O53" s="295"/>
    </row>
    <row r="54" spans="3:16" ht="24.95" customHeight="1"/>
    <row r="55" spans="3:16" ht="24.95" customHeight="1"/>
    <row r="56" spans="3:16" ht="24.95" customHeight="1"/>
    <row r="57" spans="3:16" ht="24.95" customHeight="1"/>
  </sheetData>
  <mergeCells count="34">
    <mergeCell ref="B8:B10"/>
    <mergeCell ref="C8:C10"/>
    <mergeCell ref="K9:K10"/>
    <mergeCell ref="L9:L10"/>
    <mergeCell ref="M9:M10"/>
    <mergeCell ref="F8:J8"/>
    <mergeCell ref="D8:E9"/>
    <mergeCell ref="F9:F10"/>
    <mergeCell ref="J9:J10"/>
    <mergeCell ref="K8:P8"/>
    <mergeCell ref="W9:W10"/>
    <mergeCell ref="C4:X4"/>
    <mergeCell ref="C5:X5"/>
    <mergeCell ref="N9:N10"/>
    <mergeCell ref="O9:O10"/>
    <mergeCell ref="U9:U10"/>
    <mergeCell ref="T9:T10"/>
    <mergeCell ref="V9:V10"/>
    <mergeCell ref="C28:C30"/>
    <mergeCell ref="S34:W35"/>
    <mergeCell ref="C6:X6"/>
    <mergeCell ref="N39:W40"/>
    <mergeCell ref="C39:D39"/>
    <mergeCell ref="N37:R37"/>
    <mergeCell ref="N38:W38"/>
    <mergeCell ref="C38:D38"/>
    <mergeCell ref="Q8:Q10"/>
    <mergeCell ref="X8:X10"/>
    <mergeCell ref="P9:P10"/>
    <mergeCell ref="R8:R10"/>
    <mergeCell ref="G9:I9"/>
    <mergeCell ref="S8:W8"/>
    <mergeCell ref="S33:W33"/>
    <mergeCell ref="S9:S10"/>
  </mergeCells>
  <printOptions horizontalCentered="1" verticalCentered="1"/>
  <pageMargins left="0.19685039370078741" right="0.19685039370078741" top="0" bottom="0" header="0.31496062992125984" footer="0.31496062992125984"/>
  <pageSetup scale="4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W102"/>
  <sheetViews>
    <sheetView workbookViewId="0">
      <selection activeCell="Y19" sqref="Y19"/>
    </sheetView>
  </sheetViews>
  <sheetFormatPr baseColWidth="10" defaultRowHeight="15"/>
  <cols>
    <col min="2" max="2" width="13.28515625" customWidth="1"/>
    <col min="3" max="3" width="19.7109375" customWidth="1"/>
    <col min="4" max="4" width="13.7109375" hidden="1" customWidth="1"/>
    <col min="5" max="5" width="8.140625" customWidth="1"/>
    <col min="6" max="6" width="40.85546875" customWidth="1"/>
    <col min="7" max="7" width="16.5703125" customWidth="1"/>
    <col min="8" max="8" width="12.140625" hidden="1" customWidth="1"/>
    <col min="9" max="9" width="14.5703125" customWidth="1"/>
    <col min="10" max="10" width="14.42578125" hidden="1" customWidth="1"/>
    <col min="11" max="11" width="13.85546875" customWidth="1"/>
    <col min="12" max="12" width="17" hidden="1" customWidth="1"/>
    <col min="13" max="13" width="13.85546875" customWidth="1"/>
    <col min="14" max="14" width="10.85546875" customWidth="1"/>
    <col min="15" max="15" width="10.28515625" customWidth="1"/>
    <col min="16" max="16" width="8.28515625" customWidth="1"/>
    <col min="17" max="17" width="9.5703125" customWidth="1"/>
    <col min="18" max="18" width="15" customWidth="1"/>
    <col min="19" max="19" width="12.140625" customWidth="1"/>
    <col min="20" max="20" width="12.85546875" customWidth="1"/>
    <col min="21" max="21" width="11.42578125" customWidth="1"/>
    <col min="203" max="203" width="11.5703125" customWidth="1"/>
    <col min="205" max="205" width="12.42578125" customWidth="1"/>
    <col min="206" max="206" width="12" customWidth="1"/>
    <col min="207" max="207" width="28.85546875" customWidth="1"/>
    <col min="209" max="210" width="0" hidden="1" customWidth="1"/>
    <col min="211" max="211" width="14.5703125" customWidth="1"/>
    <col min="212" max="213" width="0" hidden="1" customWidth="1"/>
    <col min="215" max="216" width="0" hidden="1" customWidth="1"/>
    <col min="226" max="226" width="0" hidden="1" customWidth="1"/>
    <col min="459" max="459" width="11.5703125" customWidth="1"/>
    <col min="461" max="461" width="12.42578125" customWidth="1"/>
    <col min="462" max="462" width="12" customWidth="1"/>
    <col min="463" max="463" width="28.85546875" customWidth="1"/>
    <col min="465" max="466" width="0" hidden="1" customWidth="1"/>
    <col min="467" max="467" width="14.5703125" customWidth="1"/>
    <col min="468" max="469" width="0" hidden="1" customWidth="1"/>
    <col min="471" max="472" width="0" hidden="1" customWidth="1"/>
    <col min="482" max="482" width="0" hidden="1" customWidth="1"/>
    <col min="715" max="715" width="11.5703125" customWidth="1"/>
    <col min="717" max="717" width="12.42578125" customWidth="1"/>
    <col min="718" max="718" width="12" customWidth="1"/>
    <col min="719" max="719" width="28.85546875" customWidth="1"/>
    <col min="721" max="722" width="0" hidden="1" customWidth="1"/>
    <col min="723" max="723" width="14.5703125" customWidth="1"/>
    <col min="724" max="725" width="0" hidden="1" customWidth="1"/>
    <col min="727" max="728" width="0" hidden="1" customWidth="1"/>
    <col min="738" max="738" width="0" hidden="1" customWidth="1"/>
    <col min="971" max="971" width="11.5703125" customWidth="1"/>
    <col min="973" max="973" width="12.42578125" customWidth="1"/>
    <col min="974" max="974" width="12" customWidth="1"/>
    <col min="975" max="975" width="28.85546875" customWidth="1"/>
    <col min="977" max="978" width="0" hidden="1" customWidth="1"/>
    <col min="979" max="979" width="14.5703125" customWidth="1"/>
    <col min="980" max="981" width="0" hidden="1" customWidth="1"/>
    <col min="983" max="984" width="0" hidden="1" customWidth="1"/>
    <col min="994" max="994" width="0" hidden="1" customWidth="1"/>
    <col min="1227" max="1227" width="11.5703125" customWidth="1"/>
    <col min="1229" max="1229" width="12.42578125" customWidth="1"/>
    <col min="1230" max="1230" width="12" customWidth="1"/>
    <col min="1231" max="1231" width="28.85546875" customWidth="1"/>
    <col min="1233" max="1234" width="0" hidden="1" customWidth="1"/>
    <col min="1235" max="1235" width="14.5703125" customWidth="1"/>
    <col min="1236" max="1237" width="0" hidden="1" customWidth="1"/>
    <col min="1239" max="1240" width="0" hidden="1" customWidth="1"/>
    <col min="1250" max="1250" width="0" hidden="1" customWidth="1"/>
    <col min="1483" max="1483" width="11.5703125" customWidth="1"/>
    <col min="1485" max="1485" width="12.42578125" customWidth="1"/>
    <col min="1486" max="1486" width="12" customWidth="1"/>
    <col min="1487" max="1487" width="28.85546875" customWidth="1"/>
    <col min="1489" max="1490" width="0" hidden="1" customWidth="1"/>
    <col min="1491" max="1491" width="14.5703125" customWidth="1"/>
    <col min="1492" max="1493" width="0" hidden="1" customWidth="1"/>
    <col min="1495" max="1496" width="0" hidden="1" customWidth="1"/>
    <col min="1506" max="1506" width="0" hidden="1" customWidth="1"/>
    <col min="1739" max="1739" width="11.5703125" customWidth="1"/>
    <col min="1741" max="1741" width="12.42578125" customWidth="1"/>
    <col min="1742" max="1742" width="12" customWidth="1"/>
    <col min="1743" max="1743" width="28.85546875" customWidth="1"/>
    <col min="1745" max="1746" width="0" hidden="1" customWidth="1"/>
    <col min="1747" max="1747" width="14.5703125" customWidth="1"/>
    <col min="1748" max="1749" width="0" hidden="1" customWidth="1"/>
    <col min="1751" max="1752" width="0" hidden="1" customWidth="1"/>
    <col min="1762" max="1762" width="0" hidden="1" customWidth="1"/>
    <col min="1995" max="1995" width="11.5703125" customWidth="1"/>
    <col min="1997" max="1997" width="12.42578125" customWidth="1"/>
    <col min="1998" max="1998" width="12" customWidth="1"/>
    <col min="1999" max="1999" width="28.85546875" customWidth="1"/>
    <col min="2001" max="2002" width="0" hidden="1" customWidth="1"/>
    <col min="2003" max="2003" width="14.5703125" customWidth="1"/>
    <col min="2004" max="2005" width="0" hidden="1" customWidth="1"/>
    <col min="2007" max="2008" width="0" hidden="1" customWidth="1"/>
    <col min="2018" max="2018" width="0" hidden="1" customWidth="1"/>
    <col min="2251" max="2251" width="11.5703125" customWidth="1"/>
    <col min="2253" max="2253" width="12.42578125" customWidth="1"/>
    <col min="2254" max="2254" width="12" customWidth="1"/>
    <col min="2255" max="2255" width="28.85546875" customWidth="1"/>
    <col min="2257" max="2258" width="0" hidden="1" customWidth="1"/>
    <col min="2259" max="2259" width="14.5703125" customWidth="1"/>
    <col min="2260" max="2261" width="0" hidden="1" customWidth="1"/>
    <col min="2263" max="2264" width="0" hidden="1" customWidth="1"/>
    <col min="2274" max="2274" width="0" hidden="1" customWidth="1"/>
    <col min="2507" max="2507" width="11.5703125" customWidth="1"/>
    <col min="2509" max="2509" width="12.42578125" customWidth="1"/>
    <col min="2510" max="2510" width="12" customWidth="1"/>
    <col min="2511" max="2511" width="28.85546875" customWidth="1"/>
    <col min="2513" max="2514" width="0" hidden="1" customWidth="1"/>
    <col min="2515" max="2515" width="14.5703125" customWidth="1"/>
    <col min="2516" max="2517" width="0" hidden="1" customWidth="1"/>
    <col min="2519" max="2520" width="0" hidden="1" customWidth="1"/>
    <col min="2530" max="2530" width="0" hidden="1" customWidth="1"/>
    <col min="2763" max="2763" width="11.5703125" customWidth="1"/>
    <col min="2765" max="2765" width="12.42578125" customWidth="1"/>
    <col min="2766" max="2766" width="12" customWidth="1"/>
    <col min="2767" max="2767" width="28.85546875" customWidth="1"/>
    <col min="2769" max="2770" width="0" hidden="1" customWidth="1"/>
    <col min="2771" max="2771" width="14.5703125" customWidth="1"/>
    <col min="2772" max="2773" width="0" hidden="1" customWidth="1"/>
    <col min="2775" max="2776" width="0" hidden="1" customWidth="1"/>
    <col min="2786" max="2786" width="0" hidden="1" customWidth="1"/>
    <col min="3019" max="3019" width="11.5703125" customWidth="1"/>
    <col min="3021" max="3021" width="12.42578125" customWidth="1"/>
    <col min="3022" max="3022" width="12" customWidth="1"/>
    <col min="3023" max="3023" width="28.85546875" customWidth="1"/>
    <col min="3025" max="3026" width="0" hidden="1" customWidth="1"/>
    <col min="3027" max="3027" width="14.5703125" customWidth="1"/>
    <col min="3028" max="3029" width="0" hidden="1" customWidth="1"/>
    <col min="3031" max="3032" width="0" hidden="1" customWidth="1"/>
    <col min="3042" max="3042" width="0" hidden="1" customWidth="1"/>
    <col min="3275" max="3275" width="11.5703125" customWidth="1"/>
    <col min="3277" max="3277" width="12.42578125" customWidth="1"/>
    <col min="3278" max="3278" width="12" customWidth="1"/>
    <col min="3279" max="3279" width="28.85546875" customWidth="1"/>
    <col min="3281" max="3282" width="0" hidden="1" customWidth="1"/>
    <col min="3283" max="3283" width="14.5703125" customWidth="1"/>
    <col min="3284" max="3285" width="0" hidden="1" customWidth="1"/>
    <col min="3287" max="3288" width="0" hidden="1" customWidth="1"/>
    <col min="3298" max="3298" width="0" hidden="1" customWidth="1"/>
    <col min="3531" max="3531" width="11.5703125" customWidth="1"/>
    <col min="3533" max="3533" width="12.42578125" customWidth="1"/>
    <col min="3534" max="3534" width="12" customWidth="1"/>
    <col min="3535" max="3535" width="28.85546875" customWidth="1"/>
    <col min="3537" max="3538" width="0" hidden="1" customWidth="1"/>
    <col min="3539" max="3539" width="14.5703125" customWidth="1"/>
    <col min="3540" max="3541" width="0" hidden="1" customWidth="1"/>
    <col min="3543" max="3544" width="0" hidden="1" customWidth="1"/>
    <col min="3554" max="3554" width="0" hidden="1" customWidth="1"/>
    <col min="3787" max="3787" width="11.5703125" customWidth="1"/>
    <col min="3789" max="3789" width="12.42578125" customWidth="1"/>
    <col min="3790" max="3790" width="12" customWidth="1"/>
    <col min="3791" max="3791" width="28.85546875" customWidth="1"/>
    <col min="3793" max="3794" width="0" hidden="1" customWidth="1"/>
    <col min="3795" max="3795" width="14.5703125" customWidth="1"/>
    <col min="3796" max="3797" width="0" hidden="1" customWidth="1"/>
    <col min="3799" max="3800" width="0" hidden="1" customWidth="1"/>
    <col min="3810" max="3810" width="0" hidden="1" customWidth="1"/>
    <col min="4043" max="4043" width="11.5703125" customWidth="1"/>
    <col min="4045" max="4045" width="12.42578125" customWidth="1"/>
    <col min="4046" max="4046" width="12" customWidth="1"/>
    <col min="4047" max="4047" width="28.85546875" customWidth="1"/>
    <col min="4049" max="4050" width="0" hidden="1" customWidth="1"/>
    <col min="4051" max="4051" width="14.5703125" customWidth="1"/>
    <col min="4052" max="4053" width="0" hidden="1" customWidth="1"/>
    <col min="4055" max="4056" width="0" hidden="1" customWidth="1"/>
    <col min="4066" max="4066" width="0" hidden="1" customWidth="1"/>
    <col min="4299" max="4299" width="11.5703125" customWidth="1"/>
    <col min="4301" max="4301" width="12.42578125" customWidth="1"/>
    <col min="4302" max="4302" width="12" customWidth="1"/>
    <col min="4303" max="4303" width="28.85546875" customWidth="1"/>
    <col min="4305" max="4306" width="0" hidden="1" customWidth="1"/>
    <col min="4307" max="4307" width="14.5703125" customWidth="1"/>
    <col min="4308" max="4309" width="0" hidden="1" customWidth="1"/>
    <col min="4311" max="4312" width="0" hidden="1" customWidth="1"/>
    <col min="4322" max="4322" width="0" hidden="1" customWidth="1"/>
    <col min="4555" max="4555" width="11.5703125" customWidth="1"/>
    <col min="4557" max="4557" width="12.42578125" customWidth="1"/>
    <col min="4558" max="4558" width="12" customWidth="1"/>
    <col min="4559" max="4559" width="28.85546875" customWidth="1"/>
    <col min="4561" max="4562" width="0" hidden="1" customWidth="1"/>
    <col min="4563" max="4563" width="14.5703125" customWidth="1"/>
    <col min="4564" max="4565" width="0" hidden="1" customWidth="1"/>
    <col min="4567" max="4568" width="0" hidden="1" customWidth="1"/>
    <col min="4578" max="4578" width="0" hidden="1" customWidth="1"/>
    <col min="4811" max="4811" width="11.5703125" customWidth="1"/>
    <col min="4813" max="4813" width="12.42578125" customWidth="1"/>
    <col min="4814" max="4814" width="12" customWidth="1"/>
    <col min="4815" max="4815" width="28.85546875" customWidth="1"/>
    <col min="4817" max="4818" width="0" hidden="1" customWidth="1"/>
    <col min="4819" max="4819" width="14.5703125" customWidth="1"/>
    <col min="4820" max="4821" width="0" hidden="1" customWidth="1"/>
    <col min="4823" max="4824" width="0" hidden="1" customWidth="1"/>
    <col min="4834" max="4834" width="0" hidden="1" customWidth="1"/>
    <col min="5067" max="5067" width="11.5703125" customWidth="1"/>
    <col min="5069" max="5069" width="12.42578125" customWidth="1"/>
    <col min="5070" max="5070" width="12" customWidth="1"/>
    <col min="5071" max="5071" width="28.85546875" customWidth="1"/>
    <col min="5073" max="5074" width="0" hidden="1" customWidth="1"/>
    <col min="5075" max="5075" width="14.5703125" customWidth="1"/>
    <col min="5076" max="5077" width="0" hidden="1" customWidth="1"/>
    <col min="5079" max="5080" width="0" hidden="1" customWidth="1"/>
    <col min="5090" max="5090" width="0" hidden="1" customWidth="1"/>
    <col min="5323" max="5323" width="11.5703125" customWidth="1"/>
    <col min="5325" max="5325" width="12.42578125" customWidth="1"/>
    <col min="5326" max="5326" width="12" customWidth="1"/>
    <col min="5327" max="5327" width="28.85546875" customWidth="1"/>
    <col min="5329" max="5330" width="0" hidden="1" customWidth="1"/>
    <col min="5331" max="5331" width="14.5703125" customWidth="1"/>
    <col min="5332" max="5333" width="0" hidden="1" customWidth="1"/>
    <col min="5335" max="5336" width="0" hidden="1" customWidth="1"/>
    <col min="5346" max="5346" width="0" hidden="1" customWidth="1"/>
    <col min="5579" max="5579" width="11.5703125" customWidth="1"/>
    <col min="5581" max="5581" width="12.42578125" customWidth="1"/>
    <col min="5582" max="5582" width="12" customWidth="1"/>
    <col min="5583" max="5583" width="28.85546875" customWidth="1"/>
    <col min="5585" max="5586" width="0" hidden="1" customWidth="1"/>
    <col min="5587" max="5587" width="14.5703125" customWidth="1"/>
    <col min="5588" max="5589" width="0" hidden="1" customWidth="1"/>
    <col min="5591" max="5592" width="0" hidden="1" customWidth="1"/>
    <col min="5602" max="5602" width="0" hidden="1" customWidth="1"/>
    <col min="5835" max="5835" width="11.5703125" customWidth="1"/>
    <col min="5837" max="5837" width="12.42578125" customWidth="1"/>
    <col min="5838" max="5838" width="12" customWidth="1"/>
    <col min="5839" max="5839" width="28.85546875" customWidth="1"/>
    <col min="5841" max="5842" width="0" hidden="1" customWidth="1"/>
    <col min="5843" max="5843" width="14.5703125" customWidth="1"/>
    <col min="5844" max="5845" width="0" hidden="1" customWidth="1"/>
    <col min="5847" max="5848" width="0" hidden="1" customWidth="1"/>
    <col min="5858" max="5858" width="0" hidden="1" customWidth="1"/>
    <col min="6091" max="6091" width="11.5703125" customWidth="1"/>
    <col min="6093" max="6093" width="12.42578125" customWidth="1"/>
    <col min="6094" max="6094" width="12" customWidth="1"/>
    <col min="6095" max="6095" width="28.85546875" customWidth="1"/>
    <col min="6097" max="6098" width="0" hidden="1" customWidth="1"/>
    <col min="6099" max="6099" width="14.5703125" customWidth="1"/>
    <col min="6100" max="6101" width="0" hidden="1" customWidth="1"/>
    <col min="6103" max="6104" width="0" hidden="1" customWidth="1"/>
    <col min="6114" max="6114" width="0" hidden="1" customWidth="1"/>
    <col min="6347" max="6347" width="11.5703125" customWidth="1"/>
    <col min="6349" max="6349" width="12.42578125" customWidth="1"/>
    <col min="6350" max="6350" width="12" customWidth="1"/>
    <col min="6351" max="6351" width="28.85546875" customWidth="1"/>
    <col min="6353" max="6354" width="0" hidden="1" customWidth="1"/>
    <col min="6355" max="6355" width="14.5703125" customWidth="1"/>
    <col min="6356" max="6357" width="0" hidden="1" customWidth="1"/>
    <col min="6359" max="6360" width="0" hidden="1" customWidth="1"/>
    <col min="6370" max="6370" width="0" hidden="1" customWidth="1"/>
    <col min="6603" max="6603" width="11.5703125" customWidth="1"/>
    <col min="6605" max="6605" width="12.42578125" customWidth="1"/>
    <col min="6606" max="6606" width="12" customWidth="1"/>
    <col min="6607" max="6607" width="28.85546875" customWidth="1"/>
    <col min="6609" max="6610" width="0" hidden="1" customWidth="1"/>
    <col min="6611" max="6611" width="14.5703125" customWidth="1"/>
    <col min="6612" max="6613" width="0" hidden="1" customWidth="1"/>
    <col min="6615" max="6616" width="0" hidden="1" customWidth="1"/>
    <col min="6626" max="6626" width="0" hidden="1" customWidth="1"/>
    <col min="6859" max="6859" width="11.5703125" customWidth="1"/>
    <col min="6861" max="6861" width="12.42578125" customWidth="1"/>
    <col min="6862" max="6862" width="12" customWidth="1"/>
    <col min="6863" max="6863" width="28.85546875" customWidth="1"/>
    <col min="6865" max="6866" width="0" hidden="1" customWidth="1"/>
    <col min="6867" max="6867" width="14.5703125" customWidth="1"/>
    <col min="6868" max="6869" width="0" hidden="1" customWidth="1"/>
    <col min="6871" max="6872" width="0" hidden="1" customWidth="1"/>
    <col min="6882" max="6882" width="0" hidden="1" customWidth="1"/>
    <col min="7115" max="7115" width="11.5703125" customWidth="1"/>
    <col min="7117" max="7117" width="12.42578125" customWidth="1"/>
    <col min="7118" max="7118" width="12" customWidth="1"/>
    <col min="7119" max="7119" width="28.85546875" customWidth="1"/>
    <col min="7121" max="7122" width="0" hidden="1" customWidth="1"/>
    <col min="7123" max="7123" width="14.5703125" customWidth="1"/>
    <col min="7124" max="7125" width="0" hidden="1" customWidth="1"/>
    <col min="7127" max="7128" width="0" hidden="1" customWidth="1"/>
    <col min="7138" max="7138" width="0" hidden="1" customWidth="1"/>
    <col min="7371" max="7371" width="11.5703125" customWidth="1"/>
    <col min="7373" max="7373" width="12.42578125" customWidth="1"/>
    <col min="7374" max="7374" width="12" customWidth="1"/>
    <col min="7375" max="7375" width="28.85546875" customWidth="1"/>
    <col min="7377" max="7378" width="0" hidden="1" customWidth="1"/>
    <col min="7379" max="7379" width="14.5703125" customWidth="1"/>
    <col min="7380" max="7381" width="0" hidden="1" customWidth="1"/>
    <col min="7383" max="7384" width="0" hidden="1" customWidth="1"/>
    <col min="7394" max="7394" width="0" hidden="1" customWidth="1"/>
    <col min="7627" max="7627" width="11.5703125" customWidth="1"/>
    <col min="7629" max="7629" width="12.42578125" customWidth="1"/>
    <col min="7630" max="7630" width="12" customWidth="1"/>
    <col min="7631" max="7631" width="28.85546875" customWidth="1"/>
    <col min="7633" max="7634" width="0" hidden="1" customWidth="1"/>
    <col min="7635" max="7635" width="14.5703125" customWidth="1"/>
    <col min="7636" max="7637" width="0" hidden="1" customWidth="1"/>
    <col min="7639" max="7640" width="0" hidden="1" customWidth="1"/>
    <col min="7650" max="7650" width="0" hidden="1" customWidth="1"/>
    <col min="7883" max="7883" width="11.5703125" customWidth="1"/>
    <col min="7885" max="7885" width="12.42578125" customWidth="1"/>
    <col min="7886" max="7886" width="12" customWidth="1"/>
    <col min="7887" max="7887" width="28.85546875" customWidth="1"/>
    <col min="7889" max="7890" width="0" hidden="1" customWidth="1"/>
    <col min="7891" max="7891" width="14.5703125" customWidth="1"/>
    <col min="7892" max="7893" width="0" hidden="1" customWidth="1"/>
    <col min="7895" max="7896" width="0" hidden="1" customWidth="1"/>
    <col min="7906" max="7906" width="0" hidden="1" customWidth="1"/>
    <col min="8139" max="8139" width="11.5703125" customWidth="1"/>
    <col min="8141" max="8141" width="12.42578125" customWidth="1"/>
    <col min="8142" max="8142" width="12" customWidth="1"/>
    <col min="8143" max="8143" width="28.85546875" customWidth="1"/>
    <col min="8145" max="8146" width="0" hidden="1" customWidth="1"/>
    <col min="8147" max="8147" width="14.5703125" customWidth="1"/>
    <col min="8148" max="8149" width="0" hidden="1" customWidth="1"/>
    <col min="8151" max="8152" width="0" hidden="1" customWidth="1"/>
    <col min="8162" max="8162" width="0" hidden="1" customWidth="1"/>
    <col min="8395" max="8395" width="11.5703125" customWidth="1"/>
    <col min="8397" max="8397" width="12.42578125" customWidth="1"/>
    <col min="8398" max="8398" width="12" customWidth="1"/>
    <col min="8399" max="8399" width="28.85546875" customWidth="1"/>
    <col min="8401" max="8402" width="0" hidden="1" customWidth="1"/>
    <col min="8403" max="8403" width="14.5703125" customWidth="1"/>
    <col min="8404" max="8405" width="0" hidden="1" customWidth="1"/>
    <col min="8407" max="8408" width="0" hidden="1" customWidth="1"/>
    <col min="8418" max="8418" width="0" hidden="1" customWidth="1"/>
    <col min="8651" max="8651" width="11.5703125" customWidth="1"/>
    <col min="8653" max="8653" width="12.42578125" customWidth="1"/>
    <col min="8654" max="8654" width="12" customWidth="1"/>
    <col min="8655" max="8655" width="28.85546875" customWidth="1"/>
    <col min="8657" max="8658" width="0" hidden="1" customWidth="1"/>
    <col min="8659" max="8659" width="14.5703125" customWidth="1"/>
    <col min="8660" max="8661" width="0" hidden="1" customWidth="1"/>
    <col min="8663" max="8664" width="0" hidden="1" customWidth="1"/>
    <col min="8674" max="8674" width="0" hidden="1" customWidth="1"/>
    <col min="8907" max="8907" width="11.5703125" customWidth="1"/>
    <col min="8909" max="8909" width="12.42578125" customWidth="1"/>
    <col min="8910" max="8910" width="12" customWidth="1"/>
    <col min="8911" max="8911" width="28.85546875" customWidth="1"/>
    <col min="8913" max="8914" width="0" hidden="1" customWidth="1"/>
    <col min="8915" max="8915" width="14.5703125" customWidth="1"/>
    <col min="8916" max="8917" width="0" hidden="1" customWidth="1"/>
    <col min="8919" max="8920" width="0" hidden="1" customWidth="1"/>
    <col min="8930" max="8930" width="0" hidden="1" customWidth="1"/>
    <col min="9163" max="9163" width="11.5703125" customWidth="1"/>
    <col min="9165" max="9165" width="12.42578125" customWidth="1"/>
    <col min="9166" max="9166" width="12" customWidth="1"/>
    <col min="9167" max="9167" width="28.85546875" customWidth="1"/>
    <col min="9169" max="9170" width="0" hidden="1" customWidth="1"/>
    <col min="9171" max="9171" width="14.5703125" customWidth="1"/>
    <col min="9172" max="9173" width="0" hidden="1" customWidth="1"/>
    <col min="9175" max="9176" width="0" hidden="1" customWidth="1"/>
    <col min="9186" max="9186" width="0" hidden="1" customWidth="1"/>
    <col min="9419" max="9419" width="11.5703125" customWidth="1"/>
    <col min="9421" max="9421" width="12.42578125" customWidth="1"/>
    <col min="9422" max="9422" width="12" customWidth="1"/>
    <col min="9423" max="9423" width="28.85546875" customWidth="1"/>
    <col min="9425" max="9426" width="0" hidden="1" customWidth="1"/>
    <col min="9427" max="9427" width="14.5703125" customWidth="1"/>
    <col min="9428" max="9429" width="0" hidden="1" customWidth="1"/>
    <col min="9431" max="9432" width="0" hidden="1" customWidth="1"/>
    <col min="9442" max="9442" width="0" hidden="1" customWidth="1"/>
    <col min="9675" max="9675" width="11.5703125" customWidth="1"/>
    <col min="9677" max="9677" width="12.42578125" customWidth="1"/>
    <col min="9678" max="9678" width="12" customWidth="1"/>
    <col min="9679" max="9679" width="28.85546875" customWidth="1"/>
    <col min="9681" max="9682" width="0" hidden="1" customWidth="1"/>
    <col min="9683" max="9683" width="14.5703125" customWidth="1"/>
    <col min="9684" max="9685" width="0" hidden="1" customWidth="1"/>
    <col min="9687" max="9688" width="0" hidden="1" customWidth="1"/>
    <col min="9698" max="9698" width="0" hidden="1" customWidth="1"/>
    <col min="9931" max="9931" width="11.5703125" customWidth="1"/>
    <col min="9933" max="9933" width="12.42578125" customWidth="1"/>
    <col min="9934" max="9934" width="12" customWidth="1"/>
    <col min="9935" max="9935" width="28.85546875" customWidth="1"/>
    <col min="9937" max="9938" width="0" hidden="1" customWidth="1"/>
    <col min="9939" max="9939" width="14.5703125" customWidth="1"/>
    <col min="9940" max="9941" width="0" hidden="1" customWidth="1"/>
    <col min="9943" max="9944" width="0" hidden="1" customWidth="1"/>
    <col min="9954" max="9954" width="0" hidden="1" customWidth="1"/>
    <col min="10187" max="10187" width="11.5703125" customWidth="1"/>
    <col min="10189" max="10189" width="12.42578125" customWidth="1"/>
    <col min="10190" max="10190" width="12" customWidth="1"/>
    <col min="10191" max="10191" width="28.85546875" customWidth="1"/>
    <col min="10193" max="10194" width="0" hidden="1" customWidth="1"/>
    <col min="10195" max="10195" width="14.5703125" customWidth="1"/>
    <col min="10196" max="10197" width="0" hidden="1" customWidth="1"/>
    <col min="10199" max="10200" width="0" hidden="1" customWidth="1"/>
    <col min="10210" max="10210" width="0" hidden="1" customWidth="1"/>
    <col min="10443" max="10443" width="11.5703125" customWidth="1"/>
    <col min="10445" max="10445" width="12.42578125" customWidth="1"/>
    <col min="10446" max="10446" width="12" customWidth="1"/>
    <col min="10447" max="10447" width="28.85546875" customWidth="1"/>
    <col min="10449" max="10450" width="0" hidden="1" customWidth="1"/>
    <col min="10451" max="10451" width="14.5703125" customWidth="1"/>
    <col min="10452" max="10453" width="0" hidden="1" customWidth="1"/>
    <col min="10455" max="10456" width="0" hidden="1" customWidth="1"/>
    <col min="10466" max="10466" width="0" hidden="1" customWidth="1"/>
    <col min="10699" max="10699" width="11.5703125" customWidth="1"/>
    <col min="10701" max="10701" width="12.42578125" customWidth="1"/>
    <col min="10702" max="10702" width="12" customWidth="1"/>
    <col min="10703" max="10703" width="28.85546875" customWidth="1"/>
    <col min="10705" max="10706" width="0" hidden="1" customWidth="1"/>
    <col min="10707" max="10707" width="14.5703125" customWidth="1"/>
    <col min="10708" max="10709" width="0" hidden="1" customWidth="1"/>
    <col min="10711" max="10712" width="0" hidden="1" customWidth="1"/>
    <col min="10722" max="10722" width="0" hidden="1" customWidth="1"/>
    <col min="10955" max="10955" width="11.5703125" customWidth="1"/>
    <col min="10957" max="10957" width="12.42578125" customWidth="1"/>
    <col min="10958" max="10958" width="12" customWidth="1"/>
    <col min="10959" max="10959" width="28.85546875" customWidth="1"/>
    <col min="10961" max="10962" width="0" hidden="1" customWidth="1"/>
    <col min="10963" max="10963" width="14.5703125" customWidth="1"/>
    <col min="10964" max="10965" width="0" hidden="1" customWidth="1"/>
    <col min="10967" max="10968" width="0" hidden="1" customWidth="1"/>
    <col min="10978" max="10978" width="0" hidden="1" customWidth="1"/>
    <col min="11211" max="11211" width="11.5703125" customWidth="1"/>
    <col min="11213" max="11213" width="12.42578125" customWidth="1"/>
    <col min="11214" max="11214" width="12" customWidth="1"/>
    <col min="11215" max="11215" width="28.85546875" customWidth="1"/>
    <col min="11217" max="11218" width="0" hidden="1" customWidth="1"/>
    <col min="11219" max="11219" width="14.5703125" customWidth="1"/>
    <col min="11220" max="11221" width="0" hidden="1" customWidth="1"/>
    <col min="11223" max="11224" width="0" hidden="1" customWidth="1"/>
    <col min="11234" max="11234" width="0" hidden="1" customWidth="1"/>
    <col min="11467" max="11467" width="11.5703125" customWidth="1"/>
    <col min="11469" max="11469" width="12.42578125" customWidth="1"/>
    <col min="11470" max="11470" width="12" customWidth="1"/>
    <col min="11471" max="11471" width="28.85546875" customWidth="1"/>
    <col min="11473" max="11474" width="0" hidden="1" customWidth="1"/>
    <col min="11475" max="11475" width="14.5703125" customWidth="1"/>
    <col min="11476" max="11477" width="0" hidden="1" customWidth="1"/>
    <col min="11479" max="11480" width="0" hidden="1" customWidth="1"/>
    <col min="11490" max="11490" width="0" hidden="1" customWidth="1"/>
    <col min="11723" max="11723" width="11.5703125" customWidth="1"/>
    <col min="11725" max="11725" width="12.42578125" customWidth="1"/>
    <col min="11726" max="11726" width="12" customWidth="1"/>
    <col min="11727" max="11727" width="28.85546875" customWidth="1"/>
    <col min="11729" max="11730" width="0" hidden="1" customWidth="1"/>
    <col min="11731" max="11731" width="14.5703125" customWidth="1"/>
    <col min="11732" max="11733" width="0" hidden="1" customWidth="1"/>
    <col min="11735" max="11736" width="0" hidden="1" customWidth="1"/>
    <col min="11746" max="11746" width="0" hidden="1" customWidth="1"/>
    <col min="11979" max="11979" width="11.5703125" customWidth="1"/>
    <col min="11981" max="11981" width="12.42578125" customWidth="1"/>
    <col min="11982" max="11982" width="12" customWidth="1"/>
    <col min="11983" max="11983" width="28.85546875" customWidth="1"/>
    <col min="11985" max="11986" width="0" hidden="1" customWidth="1"/>
    <col min="11987" max="11987" width="14.5703125" customWidth="1"/>
    <col min="11988" max="11989" width="0" hidden="1" customWidth="1"/>
    <col min="11991" max="11992" width="0" hidden="1" customWidth="1"/>
    <col min="12002" max="12002" width="0" hidden="1" customWidth="1"/>
    <col min="12235" max="12235" width="11.5703125" customWidth="1"/>
    <col min="12237" max="12237" width="12.42578125" customWidth="1"/>
    <col min="12238" max="12238" width="12" customWidth="1"/>
    <col min="12239" max="12239" width="28.85546875" customWidth="1"/>
    <col min="12241" max="12242" width="0" hidden="1" customWidth="1"/>
    <col min="12243" max="12243" width="14.5703125" customWidth="1"/>
    <col min="12244" max="12245" width="0" hidden="1" customWidth="1"/>
    <col min="12247" max="12248" width="0" hidden="1" customWidth="1"/>
    <col min="12258" max="12258" width="0" hidden="1" customWidth="1"/>
    <col min="12491" max="12491" width="11.5703125" customWidth="1"/>
    <col min="12493" max="12493" width="12.42578125" customWidth="1"/>
    <col min="12494" max="12494" width="12" customWidth="1"/>
    <col min="12495" max="12495" width="28.85546875" customWidth="1"/>
    <col min="12497" max="12498" width="0" hidden="1" customWidth="1"/>
    <col min="12499" max="12499" width="14.5703125" customWidth="1"/>
    <col min="12500" max="12501" width="0" hidden="1" customWidth="1"/>
    <col min="12503" max="12504" width="0" hidden="1" customWidth="1"/>
    <col min="12514" max="12514" width="0" hidden="1" customWidth="1"/>
    <col min="12747" max="12747" width="11.5703125" customWidth="1"/>
    <col min="12749" max="12749" width="12.42578125" customWidth="1"/>
    <col min="12750" max="12750" width="12" customWidth="1"/>
    <col min="12751" max="12751" width="28.85546875" customWidth="1"/>
    <col min="12753" max="12754" width="0" hidden="1" customWidth="1"/>
    <col min="12755" max="12755" width="14.5703125" customWidth="1"/>
    <col min="12756" max="12757" width="0" hidden="1" customWidth="1"/>
    <col min="12759" max="12760" width="0" hidden="1" customWidth="1"/>
    <col min="12770" max="12770" width="0" hidden="1" customWidth="1"/>
    <col min="13003" max="13003" width="11.5703125" customWidth="1"/>
    <col min="13005" max="13005" width="12.42578125" customWidth="1"/>
    <col min="13006" max="13006" width="12" customWidth="1"/>
    <col min="13007" max="13007" width="28.85546875" customWidth="1"/>
    <col min="13009" max="13010" width="0" hidden="1" customWidth="1"/>
    <col min="13011" max="13011" width="14.5703125" customWidth="1"/>
    <col min="13012" max="13013" width="0" hidden="1" customWidth="1"/>
    <col min="13015" max="13016" width="0" hidden="1" customWidth="1"/>
    <col min="13026" max="13026" width="0" hidden="1" customWidth="1"/>
    <col min="13259" max="13259" width="11.5703125" customWidth="1"/>
    <col min="13261" max="13261" width="12.42578125" customWidth="1"/>
    <col min="13262" max="13262" width="12" customWidth="1"/>
    <col min="13263" max="13263" width="28.85546875" customWidth="1"/>
    <col min="13265" max="13266" width="0" hidden="1" customWidth="1"/>
    <col min="13267" max="13267" width="14.5703125" customWidth="1"/>
    <col min="13268" max="13269" width="0" hidden="1" customWidth="1"/>
    <col min="13271" max="13272" width="0" hidden="1" customWidth="1"/>
    <col min="13282" max="13282" width="0" hidden="1" customWidth="1"/>
    <col min="13515" max="13515" width="11.5703125" customWidth="1"/>
    <col min="13517" max="13517" width="12.42578125" customWidth="1"/>
    <col min="13518" max="13518" width="12" customWidth="1"/>
    <col min="13519" max="13519" width="28.85546875" customWidth="1"/>
    <col min="13521" max="13522" width="0" hidden="1" customWidth="1"/>
    <col min="13523" max="13523" width="14.5703125" customWidth="1"/>
    <col min="13524" max="13525" width="0" hidden="1" customWidth="1"/>
    <col min="13527" max="13528" width="0" hidden="1" customWidth="1"/>
    <col min="13538" max="13538" width="0" hidden="1" customWidth="1"/>
    <col min="13771" max="13771" width="11.5703125" customWidth="1"/>
    <col min="13773" max="13773" width="12.42578125" customWidth="1"/>
    <col min="13774" max="13774" width="12" customWidth="1"/>
    <col min="13775" max="13775" width="28.85546875" customWidth="1"/>
    <col min="13777" max="13778" width="0" hidden="1" customWidth="1"/>
    <col min="13779" max="13779" width="14.5703125" customWidth="1"/>
    <col min="13780" max="13781" width="0" hidden="1" customWidth="1"/>
    <col min="13783" max="13784" width="0" hidden="1" customWidth="1"/>
    <col min="13794" max="13794" width="0" hidden="1" customWidth="1"/>
    <col min="14027" max="14027" width="11.5703125" customWidth="1"/>
    <col min="14029" max="14029" width="12.42578125" customWidth="1"/>
    <col min="14030" max="14030" width="12" customWidth="1"/>
    <col min="14031" max="14031" width="28.85546875" customWidth="1"/>
    <col min="14033" max="14034" width="0" hidden="1" customWidth="1"/>
    <col min="14035" max="14035" width="14.5703125" customWidth="1"/>
    <col min="14036" max="14037" width="0" hidden="1" customWidth="1"/>
    <col min="14039" max="14040" width="0" hidden="1" customWidth="1"/>
    <col min="14050" max="14050" width="0" hidden="1" customWidth="1"/>
    <col min="14283" max="14283" width="11.5703125" customWidth="1"/>
    <col min="14285" max="14285" width="12.42578125" customWidth="1"/>
    <col min="14286" max="14286" width="12" customWidth="1"/>
    <col min="14287" max="14287" width="28.85546875" customWidth="1"/>
    <col min="14289" max="14290" width="0" hidden="1" customWidth="1"/>
    <col min="14291" max="14291" width="14.5703125" customWidth="1"/>
    <col min="14292" max="14293" width="0" hidden="1" customWidth="1"/>
    <col min="14295" max="14296" width="0" hidden="1" customWidth="1"/>
    <col min="14306" max="14306" width="0" hidden="1" customWidth="1"/>
    <col min="14539" max="14539" width="11.5703125" customWidth="1"/>
    <col min="14541" max="14541" width="12.42578125" customWidth="1"/>
    <col min="14542" max="14542" width="12" customWidth="1"/>
    <col min="14543" max="14543" width="28.85546875" customWidth="1"/>
    <col min="14545" max="14546" width="0" hidden="1" customWidth="1"/>
    <col min="14547" max="14547" width="14.5703125" customWidth="1"/>
    <col min="14548" max="14549" width="0" hidden="1" customWidth="1"/>
    <col min="14551" max="14552" width="0" hidden="1" customWidth="1"/>
    <col min="14562" max="14562" width="0" hidden="1" customWidth="1"/>
    <col min="14795" max="14795" width="11.5703125" customWidth="1"/>
    <col min="14797" max="14797" width="12.42578125" customWidth="1"/>
    <col min="14798" max="14798" width="12" customWidth="1"/>
    <col min="14799" max="14799" width="28.85546875" customWidth="1"/>
    <col min="14801" max="14802" width="0" hidden="1" customWidth="1"/>
    <col min="14803" max="14803" width="14.5703125" customWidth="1"/>
    <col min="14804" max="14805" width="0" hidden="1" customWidth="1"/>
    <col min="14807" max="14808" width="0" hidden="1" customWidth="1"/>
    <col min="14818" max="14818" width="0" hidden="1" customWidth="1"/>
    <col min="15051" max="15051" width="11.5703125" customWidth="1"/>
    <col min="15053" max="15053" width="12.42578125" customWidth="1"/>
    <col min="15054" max="15054" width="12" customWidth="1"/>
    <col min="15055" max="15055" width="28.85546875" customWidth="1"/>
    <col min="15057" max="15058" width="0" hidden="1" customWidth="1"/>
    <col min="15059" max="15059" width="14.5703125" customWidth="1"/>
    <col min="15060" max="15061" width="0" hidden="1" customWidth="1"/>
    <col min="15063" max="15064" width="0" hidden="1" customWidth="1"/>
    <col min="15074" max="15074" width="0" hidden="1" customWidth="1"/>
    <col min="15307" max="15307" width="11.5703125" customWidth="1"/>
    <col min="15309" max="15309" width="12.42578125" customWidth="1"/>
    <col min="15310" max="15310" width="12" customWidth="1"/>
    <col min="15311" max="15311" width="28.85546875" customWidth="1"/>
    <col min="15313" max="15314" width="0" hidden="1" customWidth="1"/>
    <col min="15315" max="15315" width="14.5703125" customWidth="1"/>
    <col min="15316" max="15317" width="0" hidden="1" customWidth="1"/>
    <col min="15319" max="15320" width="0" hidden="1" customWidth="1"/>
    <col min="15330" max="15330" width="0" hidden="1" customWidth="1"/>
    <col min="15563" max="15563" width="11.5703125" customWidth="1"/>
    <col min="15565" max="15565" width="12.42578125" customWidth="1"/>
    <col min="15566" max="15566" width="12" customWidth="1"/>
    <col min="15567" max="15567" width="28.85546875" customWidth="1"/>
    <col min="15569" max="15570" width="0" hidden="1" customWidth="1"/>
    <col min="15571" max="15571" width="14.5703125" customWidth="1"/>
    <col min="15572" max="15573" width="0" hidden="1" customWidth="1"/>
    <col min="15575" max="15576" width="0" hidden="1" customWidth="1"/>
    <col min="15586" max="15586" width="0" hidden="1" customWidth="1"/>
    <col min="15819" max="15819" width="11.5703125" customWidth="1"/>
    <col min="15821" max="15821" width="12.42578125" customWidth="1"/>
    <col min="15822" max="15822" width="12" customWidth="1"/>
    <col min="15823" max="15823" width="28.85546875" customWidth="1"/>
    <col min="15825" max="15826" width="0" hidden="1" customWidth="1"/>
    <col min="15827" max="15827" width="14.5703125" customWidth="1"/>
    <col min="15828" max="15829" width="0" hidden="1" customWidth="1"/>
    <col min="15831" max="15832" width="0" hidden="1" customWidth="1"/>
    <col min="15842" max="15842" width="0" hidden="1" customWidth="1"/>
    <col min="16075" max="16075" width="11.5703125" customWidth="1"/>
    <col min="16077" max="16077" width="12.42578125" customWidth="1"/>
    <col min="16078" max="16078" width="12" customWidth="1"/>
    <col min="16079" max="16079" width="28.85546875" customWidth="1"/>
    <col min="16081" max="16082" width="0" hidden="1" customWidth="1"/>
    <col min="16083" max="16083" width="14.5703125" customWidth="1"/>
    <col min="16084" max="16085" width="0" hidden="1" customWidth="1"/>
    <col min="16087" max="16088" width="0" hidden="1" customWidth="1"/>
    <col min="16098" max="16098" width="0" hidden="1" customWidth="1"/>
  </cols>
  <sheetData>
    <row r="1" spans="1:23">
      <c r="F1" s="12"/>
    </row>
    <row r="2" spans="1:23" ht="51" customHeight="1">
      <c r="A2" s="418"/>
      <c r="B2" s="418"/>
      <c r="C2" s="421" t="s">
        <v>52</v>
      </c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</row>
    <row r="3" spans="1:23" ht="51" customHeight="1">
      <c r="A3" s="418"/>
      <c r="B3" s="418"/>
      <c r="C3" s="422" t="s">
        <v>66</v>
      </c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</row>
    <row r="4" spans="1:23" ht="15.75" thickBot="1">
      <c r="A4" s="11"/>
      <c r="B4" s="11"/>
      <c r="F4" s="12"/>
      <c r="M4" s="11"/>
    </row>
    <row r="5" spans="1:23" s="30" customFormat="1" ht="24.95" customHeight="1">
      <c r="A5" s="419" t="s">
        <v>39</v>
      </c>
      <c r="B5" s="420"/>
      <c r="C5" s="42">
        <v>166629199</v>
      </c>
      <c r="D5" s="39"/>
      <c r="E5" s="35"/>
      <c r="F5" s="35"/>
      <c r="M5" s="36"/>
    </row>
    <row r="6" spans="1:23" s="30" customFormat="1" ht="24.95" customHeight="1">
      <c r="A6" s="416" t="s">
        <v>51</v>
      </c>
      <c r="B6" s="417"/>
      <c r="C6" s="43">
        <f>G97</f>
        <v>156463575.79999995</v>
      </c>
      <c r="D6" s="40"/>
      <c r="E6" s="35"/>
      <c r="F6" s="35"/>
      <c r="M6" s="36"/>
    </row>
    <row r="7" spans="1:23" s="30" customFormat="1" ht="24.95" customHeight="1">
      <c r="A7" s="416" t="s">
        <v>5</v>
      </c>
      <c r="B7" s="417"/>
      <c r="C7" s="43">
        <f>I97</f>
        <v>99090206.329999998</v>
      </c>
      <c r="D7" s="40"/>
      <c r="E7" s="35"/>
      <c r="F7" s="35"/>
      <c r="M7" s="36"/>
    </row>
    <row r="8" spans="1:23" s="30" customFormat="1" ht="24.95" customHeight="1" thickBot="1">
      <c r="A8" s="423" t="s">
        <v>12</v>
      </c>
      <c r="B8" s="424"/>
      <c r="C8" s="67">
        <f>C6-C7</f>
        <v>57373369.469999954</v>
      </c>
      <c r="D8" s="41"/>
      <c r="E8" s="35"/>
      <c r="F8" s="35"/>
      <c r="G8" s="35"/>
      <c r="H8" s="35"/>
      <c r="I8" s="35"/>
      <c r="M8" s="36"/>
    </row>
    <row r="9" spans="1:23" s="85" customFormat="1" ht="25.5" customHeight="1" thickTop="1" thickBot="1">
      <c r="A9" s="79"/>
      <c r="B9" s="79"/>
      <c r="C9" s="79"/>
      <c r="D9" s="79"/>
      <c r="E9" s="80"/>
      <c r="F9" s="79"/>
      <c r="G9" s="425" t="s">
        <v>13</v>
      </c>
      <c r="H9" s="426"/>
      <c r="I9" s="427" t="s">
        <v>14</v>
      </c>
      <c r="J9" s="426"/>
      <c r="K9" s="428" t="s">
        <v>15</v>
      </c>
      <c r="L9" s="428"/>
      <c r="M9" s="81"/>
      <c r="N9" s="82"/>
      <c r="O9" s="82"/>
      <c r="P9" s="83"/>
      <c r="Q9" s="83"/>
      <c r="R9" s="83"/>
      <c r="S9" s="84"/>
      <c r="T9" s="82"/>
      <c r="U9" s="331" t="s">
        <v>681</v>
      </c>
      <c r="V9" s="82"/>
    </row>
    <row r="10" spans="1:23" s="85" customFormat="1" ht="51" customHeight="1" thickTop="1" thickBot="1">
      <c r="A10" s="86" t="s">
        <v>16</v>
      </c>
      <c r="B10" s="87" t="s">
        <v>17</v>
      </c>
      <c r="C10" s="87" t="s">
        <v>18</v>
      </c>
      <c r="D10" s="87" t="s">
        <v>19</v>
      </c>
      <c r="E10" s="88" t="s">
        <v>20</v>
      </c>
      <c r="F10" s="87" t="s">
        <v>21</v>
      </c>
      <c r="G10" s="89" t="s">
        <v>22</v>
      </c>
      <c r="H10" s="89" t="s">
        <v>23</v>
      </c>
      <c r="I10" s="89" t="s">
        <v>22</v>
      </c>
      <c r="J10" s="89" t="s">
        <v>23</v>
      </c>
      <c r="K10" s="89" t="s">
        <v>22</v>
      </c>
      <c r="L10" s="90" t="s">
        <v>23</v>
      </c>
      <c r="M10" s="87" t="s">
        <v>24</v>
      </c>
      <c r="N10" s="87" t="s">
        <v>25</v>
      </c>
      <c r="O10" s="87" t="s">
        <v>26</v>
      </c>
      <c r="P10" s="429" t="s">
        <v>27</v>
      </c>
      <c r="Q10" s="430"/>
      <c r="R10" s="342" t="s">
        <v>28</v>
      </c>
      <c r="S10" s="87" t="s">
        <v>29</v>
      </c>
      <c r="T10" s="87" t="s">
        <v>30</v>
      </c>
      <c r="U10" s="91" t="s">
        <v>31</v>
      </c>
      <c r="V10" s="92"/>
    </row>
    <row r="11" spans="1:23" s="85" customFormat="1" ht="29.25" thickTop="1">
      <c r="A11" s="93" t="s">
        <v>250</v>
      </c>
      <c r="B11" s="94">
        <v>43601</v>
      </c>
      <c r="C11" s="95" t="s">
        <v>649</v>
      </c>
      <c r="D11" s="96" t="s">
        <v>41</v>
      </c>
      <c r="E11" s="97" t="s">
        <v>35</v>
      </c>
      <c r="F11" s="98" t="s">
        <v>80</v>
      </c>
      <c r="G11" s="99">
        <f t="shared" ref="G11:G95" si="0">H11</f>
        <v>5869320</v>
      </c>
      <c r="H11" s="100">
        <v>5869320</v>
      </c>
      <c r="I11" s="99">
        <f t="shared" ref="I11:I95" si="1">J11</f>
        <v>5009913.7300000004</v>
      </c>
      <c r="J11" s="100">
        <f>206150+3642299.98+674267.8+231313.97+255881.98</f>
        <v>5009913.7300000004</v>
      </c>
      <c r="K11" s="99">
        <f t="shared" ref="K11:K95" si="2">L11</f>
        <v>859406.26999999955</v>
      </c>
      <c r="L11" s="101">
        <f t="shared" ref="L11:L95" si="3">H11-J11</f>
        <v>859406.26999999955</v>
      </c>
      <c r="M11" s="102" t="s">
        <v>36</v>
      </c>
      <c r="N11" s="144">
        <f t="shared" ref="N11:N95" si="4">I11/G11</f>
        <v>0.85357651823379888</v>
      </c>
      <c r="O11" s="144">
        <v>0.81096999999999997</v>
      </c>
      <c r="P11" s="103" t="s">
        <v>32</v>
      </c>
      <c r="Q11" s="104">
        <v>1</v>
      </c>
      <c r="R11" s="105">
        <v>877190</v>
      </c>
      <c r="S11" s="106" t="s">
        <v>81</v>
      </c>
      <c r="T11" s="106" t="s">
        <v>81</v>
      </c>
      <c r="U11" s="146" t="s">
        <v>81</v>
      </c>
      <c r="V11" s="168"/>
      <c r="W11" s="168"/>
    </row>
    <row r="12" spans="1:23" s="85" customFormat="1" ht="57">
      <c r="A12" s="93" t="s">
        <v>250</v>
      </c>
      <c r="B12" s="94">
        <v>39855</v>
      </c>
      <c r="C12" s="95" t="s">
        <v>82</v>
      </c>
      <c r="D12" s="96" t="s">
        <v>83</v>
      </c>
      <c r="E12" s="97" t="s">
        <v>84</v>
      </c>
      <c r="F12" s="98" t="s">
        <v>85</v>
      </c>
      <c r="G12" s="99">
        <f t="shared" si="0"/>
        <v>478740.39</v>
      </c>
      <c r="H12" s="100">
        <v>478740.39</v>
      </c>
      <c r="I12" s="99">
        <f t="shared" si="1"/>
        <v>477953.96</v>
      </c>
      <c r="J12" s="100">
        <f>143386.18+273923.71+60644.07</f>
        <v>477953.96</v>
      </c>
      <c r="K12" s="99">
        <f t="shared" si="2"/>
        <v>786.42999999999302</v>
      </c>
      <c r="L12" s="101">
        <f t="shared" si="3"/>
        <v>786.42999999999302</v>
      </c>
      <c r="M12" s="102" t="s">
        <v>36</v>
      </c>
      <c r="N12" s="144">
        <f t="shared" si="4"/>
        <v>0.99835729339653168</v>
      </c>
      <c r="O12" s="144">
        <v>1</v>
      </c>
      <c r="P12" s="103" t="s">
        <v>86</v>
      </c>
      <c r="Q12" s="104">
        <v>1020</v>
      </c>
      <c r="R12" s="105">
        <v>500000</v>
      </c>
      <c r="S12" s="107" t="s">
        <v>162</v>
      </c>
      <c r="T12" s="107" t="s">
        <v>288</v>
      </c>
      <c r="U12" s="108" t="s">
        <v>289</v>
      </c>
      <c r="V12" s="168"/>
      <c r="W12" s="168"/>
    </row>
    <row r="13" spans="1:23" s="85" customFormat="1" ht="57">
      <c r="A13" s="93" t="s">
        <v>250</v>
      </c>
      <c r="B13" s="94">
        <v>43507</v>
      </c>
      <c r="C13" s="95" t="s">
        <v>87</v>
      </c>
      <c r="D13" s="96" t="s">
        <v>83</v>
      </c>
      <c r="E13" s="97" t="s">
        <v>88</v>
      </c>
      <c r="F13" s="98" t="s">
        <v>256</v>
      </c>
      <c r="G13" s="99">
        <f t="shared" si="0"/>
        <v>0</v>
      </c>
      <c r="H13" s="100">
        <v>0</v>
      </c>
      <c r="I13" s="99">
        <f t="shared" si="1"/>
        <v>0</v>
      </c>
      <c r="J13" s="100">
        <f>0</f>
        <v>0</v>
      </c>
      <c r="K13" s="99">
        <f t="shared" si="2"/>
        <v>0</v>
      </c>
      <c r="L13" s="101">
        <f t="shared" si="3"/>
        <v>0</v>
      </c>
      <c r="M13" s="102" t="s">
        <v>36</v>
      </c>
      <c r="N13" s="144" t="e">
        <f t="shared" si="4"/>
        <v>#DIV/0!</v>
      </c>
      <c r="O13" s="144">
        <v>0</v>
      </c>
      <c r="P13" s="103" t="s">
        <v>86</v>
      </c>
      <c r="Q13" s="104">
        <v>2541.56</v>
      </c>
      <c r="R13" s="105">
        <v>1000</v>
      </c>
      <c r="S13" s="107" t="s">
        <v>33</v>
      </c>
      <c r="T13" s="107" t="s">
        <v>33</v>
      </c>
      <c r="U13" s="108" t="s">
        <v>34</v>
      </c>
      <c r="V13" s="168"/>
      <c r="W13" s="168"/>
    </row>
    <row r="14" spans="1:23" s="85" customFormat="1" ht="85.5">
      <c r="A14" s="93" t="s">
        <v>250</v>
      </c>
      <c r="B14" s="94">
        <v>43507</v>
      </c>
      <c r="C14" s="95" t="s">
        <v>89</v>
      </c>
      <c r="D14" s="96" t="s">
        <v>83</v>
      </c>
      <c r="E14" s="97" t="s">
        <v>90</v>
      </c>
      <c r="F14" s="98" t="s">
        <v>91</v>
      </c>
      <c r="G14" s="99">
        <f t="shared" si="0"/>
        <v>729676.3</v>
      </c>
      <c r="H14" s="100">
        <v>729676.3</v>
      </c>
      <c r="I14" s="99">
        <f t="shared" si="1"/>
        <v>669263.35000000009</v>
      </c>
      <c r="J14" s="100">
        <f>218655.7+450607.65</f>
        <v>669263.35000000009</v>
      </c>
      <c r="K14" s="99">
        <f t="shared" si="2"/>
        <v>60412.949999999953</v>
      </c>
      <c r="L14" s="101">
        <f t="shared" si="3"/>
        <v>60412.949999999953</v>
      </c>
      <c r="M14" s="102" t="s">
        <v>36</v>
      </c>
      <c r="N14" s="144">
        <f t="shared" si="4"/>
        <v>0.91720582126622452</v>
      </c>
      <c r="O14" s="144">
        <v>1</v>
      </c>
      <c r="P14" s="103" t="s">
        <v>86</v>
      </c>
      <c r="Q14" s="104">
        <v>5812.98</v>
      </c>
      <c r="R14" s="105">
        <v>400000</v>
      </c>
      <c r="S14" s="107" t="s">
        <v>162</v>
      </c>
      <c r="T14" s="107" t="s">
        <v>290</v>
      </c>
      <c r="U14" s="108" t="s">
        <v>291</v>
      </c>
      <c r="V14" s="168"/>
      <c r="W14" s="168"/>
    </row>
    <row r="15" spans="1:23" s="85" customFormat="1" ht="71.25">
      <c r="A15" s="93" t="s">
        <v>250</v>
      </c>
      <c r="B15" s="94">
        <v>43629</v>
      </c>
      <c r="C15" s="95" t="s">
        <v>682</v>
      </c>
      <c r="D15" s="96"/>
      <c r="E15" s="97" t="s">
        <v>254</v>
      </c>
      <c r="F15" s="98" t="s">
        <v>255</v>
      </c>
      <c r="G15" s="99">
        <f t="shared" si="0"/>
        <v>1454776.68</v>
      </c>
      <c r="H15" s="100">
        <v>1454776.68</v>
      </c>
      <c r="I15" s="99">
        <f t="shared" si="1"/>
        <v>1454776.68</v>
      </c>
      <c r="J15" s="100">
        <f>424859.91+991338.24+38578.53</f>
        <v>1454776.68</v>
      </c>
      <c r="K15" s="99">
        <f t="shared" si="2"/>
        <v>0</v>
      </c>
      <c r="L15" s="101">
        <f t="shared" si="3"/>
        <v>0</v>
      </c>
      <c r="M15" s="102" t="s">
        <v>36</v>
      </c>
      <c r="N15" s="144">
        <f t="shared" si="4"/>
        <v>1</v>
      </c>
      <c r="O15" s="144">
        <v>1</v>
      </c>
      <c r="P15" s="103" t="s">
        <v>86</v>
      </c>
      <c r="Q15" s="104">
        <v>4909.3999999999996</v>
      </c>
      <c r="R15" s="105">
        <v>200000</v>
      </c>
      <c r="S15" s="107" t="s">
        <v>155</v>
      </c>
      <c r="T15" s="107" t="s">
        <v>292</v>
      </c>
      <c r="U15" s="108" t="s">
        <v>293</v>
      </c>
      <c r="V15" s="168"/>
      <c r="W15" s="168"/>
    </row>
    <row r="16" spans="1:23" s="85" customFormat="1" ht="85.5">
      <c r="A16" s="93" t="s">
        <v>250</v>
      </c>
      <c r="B16" s="94">
        <v>43629</v>
      </c>
      <c r="C16" s="95" t="s">
        <v>683</v>
      </c>
      <c r="D16" s="96" t="s">
        <v>83</v>
      </c>
      <c r="E16" s="97" t="s">
        <v>92</v>
      </c>
      <c r="F16" s="98" t="s">
        <v>93</v>
      </c>
      <c r="G16" s="99">
        <f t="shared" si="0"/>
        <v>1999999.98</v>
      </c>
      <c r="H16" s="100">
        <v>1999999.98</v>
      </c>
      <c r="I16" s="99">
        <f t="shared" si="1"/>
        <v>1999999.98</v>
      </c>
      <c r="J16" s="100">
        <f>590923.28+1378820.95+30255.75</f>
        <v>1999999.98</v>
      </c>
      <c r="K16" s="99">
        <f t="shared" si="2"/>
        <v>0</v>
      </c>
      <c r="L16" s="101">
        <f t="shared" si="3"/>
        <v>0</v>
      </c>
      <c r="M16" s="102" t="s">
        <v>36</v>
      </c>
      <c r="N16" s="144">
        <f t="shared" si="4"/>
        <v>1</v>
      </c>
      <c r="O16" s="144">
        <v>1</v>
      </c>
      <c r="P16" s="103" t="s">
        <v>86</v>
      </c>
      <c r="Q16" s="104">
        <v>6147.24</v>
      </c>
      <c r="R16" s="105">
        <v>200000</v>
      </c>
      <c r="S16" s="107" t="s">
        <v>155</v>
      </c>
      <c r="T16" s="107" t="s">
        <v>294</v>
      </c>
      <c r="U16" s="108" t="s">
        <v>295</v>
      </c>
      <c r="V16" s="168"/>
      <c r="W16" s="168"/>
    </row>
    <row r="17" spans="1:23" s="85" customFormat="1" ht="57">
      <c r="A17" s="93" t="s">
        <v>250</v>
      </c>
      <c r="B17" s="94">
        <v>43629</v>
      </c>
      <c r="C17" s="95" t="s">
        <v>684</v>
      </c>
      <c r="D17" s="96" t="s">
        <v>83</v>
      </c>
      <c r="E17" s="97" t="s">
        <v>94</v>
      </c>
      <c r="F17" s="98" t="s">
        <v>95</v>
      </c>
      <c r="G17" s="99">
        <f t="shared" si="0"/>
        <v>1992419.86</v>
      </c>
      <c r="H17" s="100">
        <v>1992419.86</v>
      </c>
      <c r="I17" s="99">
        <f t="shared" si="1"/>
        <v>1954639.46</v>
      </c>
      <c r="J17" s="100">
        <f>586391.84+363419.83+1004827.79</f>
        <v>1954639.46</v>
      </c>
      <c r="K17" s="99">
        <f t="shared" si="2"/>
        <v>37780.40000000014</v>
      </c>
      <c r="L17" s="101">
        <f t="shared" si="3"/>
        <v>37780.40000000014</v>
      </c>
      <c r="M17" s="102" t="s">
        <v>36</v>
      </c>
      <c r="N17" s="144">
        <f t="shared" si="4"/>
        <v>0.98103793243658988</v>
      </c>
      <c r="O17" s="144">
        <v>1</v>
      </c>
      <c r="P17" s="103" t="s">
        <v>86</v>
      </c>
      <c r="Q17" s="104">
        <v>6505.5</v>
      </c>
      <c r="R17" s="105">
        <v>200000</v>
      </c>
      <c r="S17" s="107" t="s">
        <v>155</v>
      </c>
      <c r="T17" s="107" t="s">
        <v>296</v>
      </c>
      <c r="U17" s="108" t="s">
        <v>297</v>
      </c>
      <c r="V17" s="168"/>
      <c r="W17" s="168"/>
    </row>
    <row r="18" spans="1:23" s="85" customFormat="1" ht="114">
      <c r="A18" s="93" t="s">
        <v>250</v>
      </c>
      <c r="B18" s="94">
        <v>43507</v>
      </c>
      <c r="C18" s="95" t="s">
        <v>96</v>
      </c>
      <c r="D18" s="96" t="s">
        <v>83</v>
      </c>
      <c r="E18" s="97" t="s">
        <v>97</v>
      </c>
      <c r="F18" s="98" t="s">
        <v>98</v>
      </c>
      <c r="G18" s="99">
        <f t="shared" si="0"/>
        <v>1980489.63</v>
      </c>
      <c r="H18" s="100">
        <v>1980489.63</v>
      </c>
      <c r="I18" s="99">
        <f t="shared" si="1"/>
        <v>1780133.08</v>
      </c>
      <c r="J18" s="100">
        <f>573465+914115.41+292552.67</f>
        <v>1780133.08</v>
      </c>
      <c r="K18" s="99">
        <f t="shared" si="2"/>
        <v>200356.54999999981</v>
      </c>
      <c r="L18" s="101">
        <f t="shared" si="3"/>
        <v>200356.54999999981</v>
      </c>
      <c r="M18" s="102" t="s">
        <v>36</v>
      </c>
      <c r="N18" s="144">
        <f t="shared" si="4"/>
        <v>0.89883484015010984</v>
      </c>
      <c r="O18" s="144">
        <v>1</v>
      </c>
      <c r="P18" s="103" t="s">
        <v>86</v>
      </c>
      <c r="Q18" s="104">
        <v>5156</v>
      </c>
      <c r="R18" s="105">
        <v>200000</v>
      </c>
      <c r="S18" s="107" t="s">
        <v>155</v>
      </c>
      <c r="T18" s="107" t="s">
        <v>462</v>
      </c>
      <c r="U18" s="108" t="s">
        <v>463</v>
      </c>
      <c r="V18" s="168"/>
      <c r="W18" s="168"/>
    </row>
    <row r="19" spans="1:23" s="85" customFormat="1" ht="85.5">
      <c r="A19" s="93" t="s">
        <v>250</v>
      </c>
      <c r="B19" s="94">
        <v>43507</v>
      </c>
      <c r="C19" s="95" t="s">
        <v>99</v>
      </c>
      <c r="D19" s="96" t="s">
        <v>83</v>
      </c>
      <c r="E19" s="97" t="s">
        <v>100</v>
      </c>
      <c r="F19" s="98" t="s">
        <v>101</v>
      </c>
      <c r="G19" s="99">
        <f t="shared" si="0"/>
        <v>2529073.37</v>
      </c>
      <c r="H19" s="100">
        <v>2529073.37</v>
      </c>
      <c r="I19" s="99">
        <f t="shared" si="1"/>
        <v>2411110.5</v>
      </c>
      <c r="J19" s="100">
        <f>728942.87+1682167.63</f>
        <v>2411110.5</v>
      </c>
      <c r="K19" s="99">
        <f t="shared" si="2"/>
        <v>117962.87000000011</v>
      </c>
      <c r="L19" s="101">
        <f t="shared" si="3"/>
        <v>117962.87000000011</v>
      </c>
      <c r="M19" s="102" t="s">
        <v>36</v>
      </c>
      <c r="N19" s="144">
        <f t="shared" si="4"/>
        <v>0.95335727646367174</v>
      </c>
      <c r="O19" s="144">
        <v>1</v>
      </c>
      <c r="P19" s="103" t="s">
        <v>86</v>
      </c>
      <c r="Q19" s="104">
        <v>7688</v>
      </c>
      <c r="R19" s="105">
        <v>200000</v>
      </c>
      <c r="S19" s="107" t="s">
        <v>155</v>
      </c>
      <c r="T19" s="107" t="s">
        <v>309</v>
      </c>
      <c r="U19" s="108" t="s">
        <v>464</v>
      </c>
      <c r="V19" s="168"/>
      <c r="W19" s="168"/>
    </row>
    <row r="20" spans="1:23" s="85" customFormat="1" ht="85.5">
      <c r="A20" s="93" t="s">
        <v>250</v>
      </c>
      <c r="B20" s="94">
        <v>43507</v>
      </c>
      <c r="C20" s="95" t="s">
        <v>102</v>
      </c>
      <c r="D20" s="96" t="s">
        <v>83</v>
      </c>
      <c r="E20" s="97" t="s">
        <v>103</v>
      </c>
      <c r="F20" s="98" t="s">
        <v>104</v>
      </c>
      <c r="G20" s="99">
        <f t="shared" si="0"/>
        <v>842337.04</v>
      </c>
      <c r="H20" s="100">
        <v>842337.04</v>
      </c>
      <c r="I20" s="99">
        <f t="shared" si="1"/>
        <v>689549.36</v>
      </c>
      <c r="J20" s="100">
        <f>252383.61+437165.75</f>
        <v>689549.36</v>
      </c>
      <c r="K20" s="99">
        <f t="shared" si="2"/>
        <v>152787.68000000005</v>
      </c>
      <c r="L20" s="101">
        <f t="shared" si="3"/>
        <v>152787.68000000005</v>
      </c>
      <c r="M20" s="102" t="s">
        <v>36</v>
      </c>
      <c r="N20" s="144">
        <f t="shared" si="4"/>
        <v>0.81861455362333346</v>
      </c>
      <c r="O20" s="144">
        <v>1</v>
      </c>
      <c r="P20" s="103" t="s">
        <v>86</v>
      </c>
      <c r="Q20" s="104">
        <v>6737.53</v>
      </c>
      <c r="R20" s="105">
        <v>400000</v>
      </c>
      <c r="S20" s="107" t="s">
        <v>162</v>
      </c>
      <c r="T20" s="107" t="s">
        <v>290</v>
      </c>
      <c r="U20" s="108" t="s">
        <v>298</v>
      </c>
      <c r="V20" s="168"/>
      <c r="W20" s="168"/>
    </row>
    <row r="21" spans="1:23" s="85" customFormat="1" ht="71.25">
      <c r="A21" s="93" t="s">
        <v>250</v>
      </c>
      <c r="B21" s="94">
        <v>43507</v>
      </c>
      <c r="C21" s="95" t="s">
        <v>105</v>
      </c>
      <c r="D21" s="96" t="s">
        <v>83</v>
      </c>
      <c r="E21" s="97" t="s">
        <v>106</v>
      </c>
      <c r="F21" s="98" t="s">
        <v>107</v>
      </c>
      <c r="G21" s="99">
        <f t="shared" si="0"/>
        <v>975921.84</v>
      </c>
      <c r="H21" s="100">
        <v>975921.84</v>
      </c>
      <c r="I21" s="99">
        <f t="shared" si="1"/>
        <v>839925.2</v>
      </c>
      <c r="J21" s="100">
        <f>292284.51+547640.69</f>
        <v>839925.2</v>
      </c>
      <c r="K21" s="99">
        <f t="shared" si="2"/>
        <v>135996.64000000001</v>
      </c>
      <c r="L21" s="101">
        <f t="shared" si="3"/>
        <v>135996.64000000001</v>
      </c>
      <c r="M21" s="102" t="s">
        <v>36</v>
      </c>
      <c r="N21" s="144">
        <f t="shared" si="4"/>
        <v>0.86064802074723523</v>
      </c>
      <c r="O21" s="144">
        <v>1</v>
      </c>
      <c r="P21" s="103" t="s">
        <v>86</v>
      </c>
      <c r="Q21" s="104">
        <v>1176.19</v>
      </c>
      <c r="R21" s="105">
        <v>200000</v>
      </c>
      <c r="S21" s="107" t="s">
        <v>162</v>
      </c>
      <c r="T21" s="107" t="s">
        <v>288</v>
      </c>
      <c r="U21" s="108" t="s">
        <v>299</v>
      </c>
      <c r="V21" s="168"/>
      <c r="W21" s="168"/>
    </row>
    <row r="22" spans="1:23" s="85" customFormat="1" ht="85.5">
      <c r="A22" s="93" t="s">
        <v>250</v>
      </c>
      <c r="B22" s="94">
        <v>43507</v>
      </c>
      <c r="C22" s="95" t="s">
        <v>108</v>
      </c>
      <c r="D22" s="96" t="s">
        <v>83</v>
      </c>
      <c r="E22" s="97" t="s">
        <v>109</v>
      </c>
      <c r="F22" s="98" t="s">
        <v>110</v>
      </c>
      <c r="G22" s="99">
        <f t="shared" si="0"/>
        <v>2610725.13</v>
      </c>
      <c r="H22" s="100">
        <v>2610725.13</v>
      </c>
      <c r="I22" s="99">
        <f t="shared" si="1"/>
        <v>2377284.31</v>
      </c>
      <c r="J22" s="100">
        <f>767955.12+1609329.19</f>
        <v>2377284.31</v>
      </c>
      <c r="K22" s="99">
        <f t="shared" si="2"/>
        <v>233440.81999999983</v>
      </c>
      <c r="L22" s="101">
        <f t="shared" si="3"/>
        <v>233440.81999999983</v>
      </c>
      <c r="M22" s="102" t="s">
        <v>36</v>
      </c>
      <c r="N22" s="144">
        <f t="shared" si="4"/>
        <v>0.91058391505198411</v>
      </c>
      <c r="O22" s="144">
        <v>1</v>
      </c>
      <c r="P22" s="103" t="s">
        <v>86</v>
      </c>
      <c r="Q22" s="104">
        <v>3320.1</v>
      </c>
      <c r="R22" s="105">
        <v>200000</v>
      </c>
      <c r="S22" s="107" t="s">
        <v>155</v>
      </c>
      <c r="T22" s="107" t="s">
        <v>290</v>
      </c>
      <c r="U22" s="108" t="s">
        <v>300</v>
      </c>
      <c r="V22" s="168"/>
      <c r="W22" s="168"/>
    </row>
    <row r="23" spans="1:23" s="85" customFormat="1" ht="71.25">
      <c r="A23" s="93" t="s">
        <v>250</v>
      </c>
      <c r="B23" s="94">
        <v>43507</v>
      </c>
      <c r="C23" s="95" t="s">
        <v>111</v>
      </c>
      <c r="D23" s="96" t="s">
        <v>83</v>
      </c>
      <c r="E23" s="97" t="s">
        <v>112</v>
      </c>
      <c r="F23" s="98" t="s">
        <v>113</v>
      </c>
      <c r="G23" s="99">
        <f t="shared" si="0"/>
        <v>2011794</v>
      </c>
      <c r="H23" s="100">
        <v>2011794</v>
      </c>
      <c r="I23" s="99">
        <f t="shared" si="1"/>
        <v>1955842.23</v>
      </c>
      <c r="J23" s="100">
        <f>591005.45+1364836.78</f>
        <v>1955842.23</v>
      </c>
      <c r="K23" s="99">
        <f t="shared" si="2"/>
        <v>55951.770000000019</v>
      </c>
      <c r="L23" s="101">
        <f t="shared" si="3"/>
        <v>55951.770000000019</v>
      </c>
      <c r="M23" s="102" t="s">
        <v>36</v>
      </c>
      <c r="N23" s="144">
        <f t="shared" si="4"/>
        <v>0.97218812164664969</v>
      </c>
      <c r="O23" s="144">
        <v>1</v>
      </c>
      <c r="P23" s="103" t="s">
        <v>86</v>
      </c>
      <c r="Q23" s="104">
        <v>3542.04</v>
      </c>
      <c r="R23" s="105">
        <v>400000</v>
      </c>
      <c r="S23" s="107" t="s">
        <v>155</v>
      </c>
      <c r="T23" s="107" t="s">
        <v>301</v>
      </c>
      <c r="U23" s="108" t="s">
        <v>302</v>
      </c>
      <c r="V23" s="168"/>
      <c r="W23" s="168"/>
    </row>
    <row r="24" spans="1:23" s="85" customFormat="1" ht="57.75" customHeight="1">
      <c r="A24" s="93" t="s">
        <v>250</v>
      </c>
      <c r="B24" s="94">
        <v>43504</v>
      </c>
      <c r="C24" s="95" t="s">
        <v>114</v>
      </c>
      <c r="D24" s="96" t="s">
        <v>41</v>
      </c>
      <c r="E24" s="97" t="s">
        <v>115</v>
      </c>
      <c r="F24" s="98" t="s">
        <v>116</v>
      </c>
      <c r="G24" s="99">
        <f t="shared" si="0"/>
        <v>518973.15</v>
      </c>
      <c r="H24" s="100">
        <v>518973.15</v>
      </c>
      <c r="I24" s="99">
        <f t="shared" si="1"/>
        <v>155600.39000000001</v>
      </c>
      <c r="J24" s="100">
        <f>155600.39</f>
        <v>155600.39000000001</v>
      </c>
      <c r="K24" s="99">
        <f t="shared" si="2"/>
        <v>363372.76</v>
      </c>
      <c r="L24" s="101">
        <f t="shared" si="3"/>
        <v>363372.76</v>
      </c>
      <c r="M24" s="102" t="s">
        <v>36</v>
      </c>
      <c r="N24" s="144">
        <f t="shared" si="4"/>
        <v>0.29982358432223327</v>
      </c>
      <c r="O24" s="144">
        <v>0.98</v>
      </c>
      <c r="P24" s="103" t="s">
        <v>32</v>
      </c>
      <c r="Q24" s="104">
        <v>1</v>
      </c>
      <c r="R24" s="105">
        <v>100</v>
      </c>
      <c r="S24" s="107" t="s">
        <v>162</v>
      </c>
      <c r="T24" s="107" t="s">
        <v>465</v>
      </c>
      <c r="U24" s="108" t="s">
        <v>466</v>
      </c>
      <c r="V24" s="168"/>
      <c r="W24" s="168"/>
    </row>
    <row r="25" spans="1:23" s="85" customFormat="1" ht="42.75">
      <c r="A25" s="93" t="s">
        <v>250</v>
      </c>
      <c r="B25" s="94">
        <v>43501</v>
      </c>
      <c r="C25" s="95" t="s">
        <v>117</v>
      </c>
      <c r="D25" s="96" t="s">
        <v>83</v>
      </c>
      <c r="E25" s="97" t="s">
        <v>118</v>
      </c>
      <c r="F25" s="98" t="s">
        <v>119</v>
      </c>
      <c r="G25" s="99">
        <f t="shared" si="0"/>
        <v>1200000</v>
      </c>
      <c r="H25" s="100">
        <v>1200000</v>
      </c>
      <c r="I25" s="99">
        <f t="shared" si="1"/>
        <v>1185634.06</v>
      </c>
      <c r="J25" s="100">
        <f>341467.96+607550.37+236615.73</f>
        <v>1185634.06</v>
      </c>
      <c r="K25" s="99">
        <f t="shared" si="2"/>
        <v>14365.939999999944</v>
      </c>
      <c r="L25" s="101">
        <f t="shared" si="3"/>
        <v>14365.939999999944</v>
      </c>
      <c r="M25" s="102" t="s">
        <v>36</v>
      </c>
      <c r="N25" s="144">
        <f t="shared" si="4"/>
        <v>0.98802838333333343</v>
      </c>
      <c r="O25" s="144">
        <v>1</v>
      </c>
      <c r="P25" s="103" t="s">
        <v>32</v>
      </c>
      <c r="Q25" s="104">
        <v>1</v>
      </c>
      <c r="R25" s="105">
        <v>3120</v>
      </c>
      <c r="S25" s="107" t="s">
        <v>155</v>
      </c>
      <c r="T25" s="107" t="s">
        <v>303</v>
      </c>
      <c r="U25" s="108" t="s">
        <v>304</v>
      </c>
      <c r="V25" s="168"/>
      <c r="W25" s="168"/>
    </row>
    <row r="26" spans="1:23" s="85" customFormat="1" ht="73.5" customHeight="1">
      <c r="A26" s="93" t="s">
        <v>250</v>
      </c>
      <c r="B26" s="94">
        <v>43504</v>
      </c>
      <c r="C26" s="95" t="s">
        <v>120</v>
      </c>
      <c r="D26" s="96" t="s">
        <v>83</v>
      </c>
      <c r="E26" s="97" t="s">
        <v>121</v>
      </c>
      <c r="F26" s="109" t="s">
        <v>122</v>
      </c>
      <c r="G26" s="99">
        <f t="shared" si="0"/>
        <v>1142716.3500000001</v>
      </c>
      <c r="H26" s="100">
        <v>1142716.3500000001</v>
      </c>
      <c r="I26" s="99">
        <f t="shared" si="1"/>
        <v>663673.99</v>
      </c>
      <c r="J26" s="100">
        <f>330783.15+332890.84</f>
        <v>663673.99</v>
      </c>
      <c r="K26" s="99">
        <f t="shared" si="2"/>
        <v>479042.3600000001</v>
      </c>
      <c r="L26" s="101">
        <f t="shared" si="3"/>
        <v>479042.3600000001</v>
      </c>
      <c r="M26" s="102" t="s">
        <v>36</v>
      </c>
      <c r="N26" s="144">
        <f t="shared" si="4"/>
        <v>0.58078629049107411</v>
      </c>
      <c r="O26" s="144">
        <v>0.81</v>
      </c>
      <c r="P26" s="103" t="s">
        <v>86</v>
      </c>
      <c r="Q26" s="104">
        <v>1180</v>
      </c>
      <c r="R26" s="105">
        <v>2000</v>
      </c>
      <c r="S26" s="107" t="s">
        <v>155</v>
      </c>
      <c r="T26" s="107" t="s">
        <v>305</v>
      </c>
      <c r="U26" s="108" t="s">
        <v>306</v>
      </c>
      <c r="V26" s="168"/>
      <c r="W26" s="168"/>
    </row>
    <row r="27" spans="1:23" s="85" customFormat="1" ht="88.5" customHeight="1">
      <c r="A27" s="93" t="s">
        <v>250</v>
      </c>
      <c r="B27" s="94">
        <v>43501</v>
      </c>
      <c r="C27" s="95" t="s">
        <v>123</v>
      </c>
      <c r="D27" s="96" t="s">
        <v>83</v>
      </c>
      <c r="E27" s="97" t="s">
        <v>124</v>
      </c>
      <c r="F27" s="109" t="s">
        <v>125</v>
      </c>
      <c r="G27" s="99">
        <f t="shared" si="0"/>
        <v>1191974.23</v>
      </c>
      <c r="H27" s="100">
        <v>1191974.23</v>
      </c>
      <c r="I27" s="99">
        <f t="shared" si="1"/>
        <v>1144106.8799999999</v>
      </c>
      <c r="J27" s="100">
        <f>463718.17+217893.91+265145.81+197348.99</f>
        <v>1144106.8799999999</v>
      </c>
      <c r="K27" s="99">
        <f t="shared" si="2"/>
        <v>47867.350000000093</v>
      </c>
      <c r="L27" s="101">
        <f t="shared" si="3"/>
        <v>47867.350000000093</v>
      </c>
      <c r="M27" s="102" t="s">
        <v>36</v>
      </c>
      <c r="N27" s="144">
        <f t="shared" si="4"/>
        <v>0.95984195899939873</v>
      </c>
      <c r="O27" s="144">
        <v>1</v>
      </c>
      <c r="P27" s="103" t="s">
        <v>86</v>
      </c>
      <c r="Q27" s="104">
        <v>1240.9000000000001</v>
      </c>
      <c r="R27" s="105">
        <v>2000</v>
      </c>
      <c r="S27" s="107" t="s">
        <v>155</v>
      </c>
      <c r="T27" s="107" t="s">
        <v>307</v>
      </c>
      <c r="U27" s="108" t="s">
        <v>308</v>
      </c>
      <c r="V27" s="168"/>
      <c r="W27" s="168"/>
    </row>
    <row r="28" spans="1:23" s="85" customFormat="1" ht="84" customHeight="1">
      <c r="A28" s="93" t="s">
        <v>250</v>
      </c>
      <c r="B28" s="94">
        <v>43507</v>
      </c>
      <c r="C28" s="95" t="s">
        <v>126</v>
      </c>
      <c r="D28" s="96" t="s">
        <v>83</v>
      </c>
      <c r="E28" s="97" t="s">
        <v>127</v>
      </c>
      <c r="F28" s="98" t="s">
        <v>128</v>
      </c>
      <c r="G28" s="99">
        <f t="shared" si="0"/>
        <v>2234751.7000000002</v>
      </c>
      <c r="H28" s="100">
        <v>2234751.7000000002</v>
      </c>
      <c r="I28" s="99">
        <f t="shared" si="1"/>
        <v>2187117.2400000002</v>
      </c>
      <c r="J28" s="100">
        <f>600397.71+616780.48+969939.05</f>
        <v>2187117.2400000002</v>
      </c>
      <c r="K28" s="99">
        <f t="shared" si="2"/>
        <v>47634.459999999963</v>
      </c>
      <c r="L28" s="101">
        <f t="shared" si="3"/>
        <v>47634.459999999963</v>
      </c>
      <c r="M28" s="102" t="s">
        <v>36</v>
      </c>
      <c r="N28" s="144">
        <f t="shared" si="4"/>
        <v>0.97868467445398966</v>
      </c>
      <c r="O28" s="144">
        <v>1</v>
      </c>
      <c r="P28" s="103" t="s">
        <v>86</v>
      </c>
      <c r="Q28" s="104">
        <v>2476.58</v>
      </c>
      <c r="R28" s="105">
        <v>400000</v>
      </c>
      <c r="S28" s="107" t="s">
        <v>155</v>
      </c>
      <c r="T28" s="107" t="s">
        <v>309</v>
      </c>
      <c r="U28" s="108" t="s">
        <v>310</v>
      </c>
      <c r="V28" s="168"/>
      <c r="W28" s="168"/>
    </row>
    <row r="29" spans="1:23" s="85" customFormat="1" ht="69.75" customHeight="1">
      <c r="A29" s="93" t="s">
        <v>250</v>
      </c>
      <c r="B29" s="94">
        <v>43515</v>
      </c>
      <c r="C29" s="95" t="s">
        <v>129</v>
      </c>
      <c r="D29" s="96" t="s">
        <v>41</v>
      </c>
      <c r="E29" s="97" t="s">
        <v>130</v>
      </c>
      <c r="F29" s="98" t="s">
        <v>131</v>
      </c>
      <c r="G29" s="99">
        <f t="shared" si="0"/>
        <v>2500000</v>
      </c>
      <c r="H29" s="100">
        <v>2500000</v>
      </c>
      <c r="I29" s="99">
        <f t="shared" si="1"/>
        <v>1078936.07</v>
      </c>
      <c r="J29" s="100">
        <f>722320.81+58103.85+298511.41</f>
        <v>1078936.07</v>
      </c>
      <c r="K29" s="99">
        <f t="shared" si="2"/>
        <v>1421063.93</v>
      </c>
      <c r="L29" s="101">
        <f t="shared" si="3"/>
        <v>1421063.93</v>
      </c>
      <c r="M29" s="102" t="s">
        <v>36</v>
      </c>
      <c r="N29" s="144">
        <f t="shared" si="4"/>
        <v>0.43157442800000001</v>
      </c>
      <c r="O29" s="144">
        <v>0.6</v>
      </c>
      <c r="P29" s="103" t="s">
        <v>32</v>
      </c>
      <c r="Q29" s="104">
        <v>1</v>
      </c>
      <c r="R29" s="105">
        <v>2000</v>
      </c>
      <c r="S29" s="107" t="s">
        <v>155</v>
      </c>
      <c r="T29" s="107" t="s">
        <v>467</v>
      </c>
      <c r="U29" s="108" t="s">
        <v>468</v>
      </c>
      <c r="V29" s="168"/>
      <c r="W29" s="168"/>
    </row>
    <row r="30" spans="1:23" s="85" customFormat="1" ht="61.5" customHeight="1">
      <c r="A30" s="93" t="s">
        <v>250</v>
      </c>
      <c r="B30" s="94">
        <v>43523</v>
      </c>
      <c r="C30" s="95" t="s">
        <v>272</v>
      </c>
      <c r="D30" s="96"/>
      <c r="E30" s="97" t="s">
        <v>273</v>
      </c>
      <c r="F30" s="98" t="s">
        <v>274</v>
      </c>
      <c r="G30" s="99">
        <f t="shared" si="0"/>
        <v>1209605.8799999999</v>
      </c>
      <c r="H30" s="100">
        <v>1209605.8799999999</v>
      </c>
      <c r="I30" s="99">
        <f t="shared" si="1"/>
        <v>1161383.07</v>
      </c>
      <c r="J30" s="100">
        <f>356895+149608.3+654879.77</f>
        <v>1161383.07</v>
      </c>
      <c r="K30" s="99">
        <f t="shared" si="2"/>
        <v>48222.809999999823</v>
      </c>
      <c r="L30" s="101">
        <f t="shared" si="3"/>
        <v>48222.809999999823</v>
      </c>
      <c r="M30" s="102" t="s">
        <v>36</v>
      </c>
      <c r="N30" s="144">
        <f t="shared" si="4"/>
        <v>0.96013345272428752</v>
      </c>
      <c r="O30" s="144">
        <v>0.89</v>
      </c>
      <c r="P30" s="103" t="s">
        <v>32</v>
      </c>
      <c r="Q30" s="104">
        <v>1</v>
      </c>
      <c r="R30" s="105">
        <v>3000</v>
      </c>
      <c r="S30" s="107" t="s">
        <v>155</v>
      </c>
      <c r="T30" s="107" t="s">
        <v>469</v>
      </c>
      <c r="U30" s="108" t="s">
        <v>470</v>
      </c>
      <c r="V30" s="168"/>
      <c r="W30" s="168"/>
    </row>
    <row r="31" spans="1:23" s="85" customFormat="1" ht="84.75" customHeight="1">
      <c r="A31" s="93" t="s">
        <v>250</v>
      </c>
      <c r="B31" s="94">
        <v>43515</v>
      </c>
      <c r="C31" s="95" t="s">
        <v>132</v>
      </c>
      <c r="D31" s="96" t="s">
        <v>133</v>
      </c>
      <c r="E31" s="97" t="s">
        <v>134</v>
      </c>
      <c r="F31" s="98" t="s">
        <v>135</v>
      </c>
      <c r="G31" s="99">
        <f t="shared" si="0"/>
        <v>1209605.8799999999</v>
      </c>
      <c r="H31" s="100">
        <v>1209605.8799999999</v>
      </c>
      <c r="I31" s="99">
        <f t="shared" si="1"/>
        <v>1104460.6499999999</v>
      </c>
      <c r="J31" s="100">
        <f>527076.39+129567+447817.26</f>
        <v>1104460.6499999999</v>
      </c>
      <c r="K31" s="99">
        <f t="shared" si="2"/>
        <v>105145.22999999998</v>
      </c>
      <c r="L31" s="101">
        <f t="shared" si="3"/>
        <v>105145.22999999998</v>
      </c>
      <c r="M31" s="102" t="s">
        <v>36</v>
      </c>
      <c r="N31" s="144">
        <f t="shared" si="4"/>
        <v>0.91307480251336082</v>
      </c>
      <c r="O31" s="144">
        <v>0.98</v>
      </c>
      <c r="P31" s="103" t="s">
        <v>32</v>
      </c>
      <c r="Q31" s="104">
        <v>1</v>
      </c>
      <c r="R31" s="105">
        <v>2500</v>
      </c>
      <c r="S31" s="107" t="s">
        <v>155</v>
      </c>
      <c r="T31" s="107" t="s">
        <v>471</v>
      </c>
      <c r="U31" s="108" t="s">
        <v>472</v>
      </c>
      <c r="V31" s="168"/>
      <c r="W31" s="168"/>
    </row>
    <row r="32" spans="1:23" s="85" customFormat="1" ht="74.25" customHeight="1">
      <c r="A32" s="93" t="s">
        <v>250</v>
      </c>
      <c r="B32" s="94">
        <v>43523</v>
      </c>
      <c r="C32" s="95" t="s">
        <v>257</v>
      </c>
      <c r="D32" s="96"/>
      <c r="E32" s="97" t="s">
        <v>258</v>
      </c>
      <c r="F32" s="98" t="s">
        <v>259</v>
      </c>
      <c r="G32" s="99">
        <f t="shared" si="0"/>
        <v>1209605.8799999999</v>
      </c>
      <c r="H32" s="100">
        <v>1209605.8799999999</v>
      </c>
      <c r="I32" s="99">
        <f t="shared" si="1"/>
        <v>357371.96</v>
      </c>
      <c r="J32" s="100">
        <f>357371.96</f>
        <v>357371.96</v>
      </c>
      <c r="K32" s="99">
        <f t="shared" si="2"/>
        <v>852233.91999999993</v>
      </c>
      <c r="L32" s="101">
        <f t="shared" si="3"/>
        <v>852233.91999999993</v>
      </c>
      <c r="M32" s="102" t="s">
        <v>36</v>
      </c>
      <c r="N32" s="144">
        <f t="shared" si="4"/>
        <v>0.29544495931187109</v>
      </c>
      <c r="O32" s="144">
        <v>0.28000000000000003</v>
      </c>
      <c r="P32" s="103" t="s">
        <v>32</v>
      </c>
      <c r="Q32" s="104">
        <v>1</v>
      </c>
      <c r="R32" s="105">
        <v>1000</v>
      </c>
      <c r="S32" s="107" t="s">
        <v>155</v>
      </c>
      <c r="T32" s="107" t="s">
        <v>473</v>
      </c>
      <c r="U32" s="108" t="s">
        <v>474</v>
      </c>
      <c r="V32" s="168"/>
      <c r="W32" s="168"/>
    </row>
    <row r="33" spans="1:23" s="85" customFormat="1" ht="87.75" customHeight="1">
      <c r="A33" s="93" t="s">
        <v>250</v>
      </c>
      <c r="B33" s="94">
        <v>43515</v>
      </c>
      <c r="C33" s="95" t="s">
        <v>136</v>
      </c>
      <c r="D33" s="96" t="s">
        <v>83</v>
      </c>
      <c r="E33" s="97" t="s">
        <v>137</v>
      </c>
      <c r="F33" s="98" t="s">
        <v>138</v>
      </c>
      <c r="G33" s="99">
        <f t="shared" si="0"/>
        <v>2850123.57</v>
      </c>
      <c r="H33" s="100">
        <v>2850123.57</v>
      </c>
      <c r="I33" s="99">
        <f t="shared" si="1"/>
        <v>2626586.12</v>
      </c>
      <c r="J33" s="100">
        <f>836880+1377424.86+412281.26</f>
        <v>2626586.12</v>
      </c>
      <c r="K33" s="99">
        <f t="shared" si="2"/>
        <v>223537.44999999972</v>
      </c>
      <c r="L33" s="101">
        <f t="shared" si="3"/>
        <v>223537.44999999972</v>
      </c>
      <c r="M33" s="102" t="s">
        <v>36</v>
      </c>
      <c r="N33" s="144">
        <f t="shared" si="4"/>
        <v>0.92156920761158445</v>
      </c>
      <c r="O33" s="144">
        <v>0.99</v>
      </c>
      <c r="P33" s="103" t="s">
        <v>86</v>
      </c>
      <c r="Q33" s="104">
        <v>3400</v>
      </c>
      <c r="R33" s="105">
        <v>400000</v>
      </c>
      <c r="S33" s="107" t="s">
        <v>155</v>
      </c>
      <c r="T33" s="107" t="s">
        <v>311</v>
      </c>
      <c r="U33" s="108" t="s">
        <v>312</v>
      </c>
      <c r="V33" s="168"/>
      <c r="W33" s="168"/>
    </row>
    <row r="34" spans="1:23" s="85" customFormat="1" ht="46.5" customHeight="1">
      <c r="A34" s="93" t="s">
        <v>139</v>
      </c>
      <c r="B34" s="94">
        <v>43503</v>
      </c>
      <c r="C34" s="95" t="s">
        <v>140</v>
      </c>
      <c r="D34" s="96" t="s">
        <v>83</v>
      </c>
      <c r="E34" s="97" t="s">
        <v>141</v>
      </c>
      <c r="F34" s="98" t="s">
        <v>142</v>
      </c>
      <c r="G34" s="99">
        <f t="shared" si="0"/>
        <v>917262.71</v>
      </c>
      <c r="H34" s="100">
        <v>917262.71</v>
      </c>
      <c r="I34" s="99">
        <f t="shared" si="1"/>
        <v>881043.7</v>
      </c>
      <c r="J34" s="100">
        <f>1441.57+443964.69+417661.6+17975.84</f>
        <v>881043.7</v>
      </c>
      <c r="K34" s="99">
        <f t="shared" si="2"/>
        <v>36219.010000000009</v>
      </c>
      <c r="L34" s="101">
        <f t="shared" si="3"/>
        <v>36219.010000000009</v>
      </c>
      <c r="M34" s="102" t="s">
        <v>79</v>
      </c>
      <c r="N34" s="144">
        <f t="shared" si="4"/>
        <v>0.96051402765517413</v>
      </c>
      <c r="O34" s="144">
        <v>0.85189999999999999</v>
      </c>
      <c r="P34" s="103" t="s">
        <v>32</v>
      </c>
      <c r="Q34" s="104">
        <v>1</v>
      </c>
      <c r="R34" s="105">
        <v>600000</v>
      </c>
      <c r="S34" s="107" t="s">
        <v>33</v>
      </c>
      <c r="T34" s="107" t="s">
        <v>33</v>
      </c>
      <c r="U34" s="108" t="s">
        <v>34</v>
      </c>
      <c r="V34" s="168"/>
      <c r="W34" s="168"/>
    </row>
    <row r="35" spans="1:23" s="85" customFormat="1" ht="89.25" customHeight="1">
      <c r="A35" s="93" t="s">
        <v>250</v>
      </c>
      <c r="B35" s="94">
        <v>43515</v>
      </c>
      <c r="C35" s="95" t="s">
        <v>143</v>
      </c>
      <c r="D35" s="96" t="s">
        <v>83</v>
      </c>
      <c r="E35" s="97" t="s">
        <v>144</v>
      </c>
      <c r="F35" s="98" t="s">
        <v>145</v>
      </c>
      <c r="G35" s="99">
        <f t="shared" si="0"/>
        <v>2850123.57</v>
      </c>
      <c r="H35" s="100">
        <v>2850123.57</v>
      </c>
      <c r="I35" s="99">
        <f t="shared" si="1"/>
        <v>1569249.54</v>
      </c>
      <c r="J35" s="100">
        <f>837120+300531.52+431598.02</f>
        <v>1569249.54</v>
      </c>
      <c r="K35" s="99">
        <f t="shared" si="2"/>
        <v>1280874.0299999998</v>
      </c>
      <c r="L35" s="101">
        <f t="shared" si="3"/>
        <v>1280874.0299999998</v>
      </c>
      <c r="M35" s="102" t="s">
        <v>36</v>
      </c>
      <c r="N35" s="144">
        <f t="shared" si="4"/>
        <v>0.55059000126089275</v>
      </c>
      <c r="O35" s="144">
        <v>0.6</v>
      </c>
      <c r="P35" s="103" t="s">
        <v>86</v>
      </c>
      <c r="Q35" s="104">
        <v>3400</v>
      </c>
      <c r="R35" s="105">
        <v>400000</v>
      </c>
      <c r="S35" s="107" t="s">
        <v>155</v>
      </c>
      <c r="T35" s="107" t="s">
        <v>313</v>
      </c>
      <c r="U35" s="108" t="s">
        <v>314</v>
      </c>
      <c r="V35" s="168"/>
      <c r="W35" s="168"/>
    </row>
    <row r="36" spans="1:23" s="85" customFormat="1" ht="63" customHeight="1">
      <c r="A36" s="93" t="s">
        <v>250</v>
      </c>
      <c r="B36" s="94">
        <v>43515</v>
      </c>
      <c r="C36" s="95" t="s">
        <v>146</v>
      </c>
      <c r="D36" s="96" t="s">
        <v>41</v>
      </c>
      <c r="E36" s="97" t="s">
        <v>147</v>
      </c>
      <c r="F36" s="98" t="s">
        <v>148</v>
      </c>
      <c r="G36" s="99">
        <f t="shared" si="0"/>
        <v>1409245.24</v>
      </c>
      <c r="H36" s="100">
        <v>1409245.24</v>
      </c>
      <c r="I36" s="99">
        <f t="shared" si="1"/>
        <v>407882.97</v>
      </c>
      <c r="J36" s="100">
        <f>407882.97</f>
        <v>407882.97</v>
      </c>
      <c r="K36" s="99">
        <f t="shared" si="2"/>
        <v>1001362.27</v>
      </c>
      <c r="L36" s="101">
        <f t="shared" si="3"/>
        <v>1001362.27</v>
      </c>
      <c r="M36" s="102" t="s">
        <v>36</v>
      </c>
      <c r="N36" s="144">
        <f t="shared" si="4"/>
        <v>0.28943363328301891</v>
      </c>
      <c r="O36" s="144">
        <v>1</v>
      </c>
      <c r="P36" s="103" t="s">
        <v>32</v>
      </c>
      <c r="Q36" s="104">
        <v>1</v>
      </c>
      <c r="R36" s="105">
        <v>2000</v>
      </c>
      <c r="S36" s="107" t="s">
        <v>155</v>
      </c>
      <c r="T36" s="107" t="s">
        <v>475</v>
      </c>
      <c r="U36" s="108" t="s">
        <v>476</v>
      </c>
      <c r="V36" s="168"/>
      <c r="W36" s="168"/>
    </row>
    <row r="37" spans="1:23" s="85" customFormat="1" ht="58.5" customHeight="1">
      <c r="A37" s="93" t="s">
        <v>250</v>
      </c>
      <c r="B37" s="94">
        <v>43523</v>
      </c>
      <c r="C37" s="95" t="s">
        <v>269</v>
      </c>
      <c r="D37" s="96"/>
      <c r="E37" s="97" t="s">
        <v>270</v>
      </c>
      <c r="F37" s="98" t="s">
        <v>271</v>
      </c>
      <c r="G37" s="99">
        <f t="shared" si="0"/>
        <v>3043784.62</v>
      </c>
      <c r="H37" s="100">
        <v>3043784.62</v>
      </c>
      <c r="I37" s="99">
        <f t="shared" si="1"/>
        <v>876438.17</v>
      </c>
      <c r="J37" s="100">
        <f>876438.17</f>
        <v>876438.17</v>
      </c>
      <c r="K37" s="99">
        <f t="shared" si="2"/>
        <v>2167346.4500000002</v>
      </c>
      <c r="L37" s="101">
        <f t="shared" si="3"/>
        <v>2167346.4500000002</v>
      </c>
      <c r="M37" s="102" t="s">
        <v>36</v>
      </c>
      <c r="N37" s="144">
        <f t="shared" si="4"/>
        <v>0.28794355692617962</v>
      </c>
      <c r="O37" s="144">
        <v>0.15</v>
      </c>
      <c r="P37" s="103" t="s">
        <v>32</v>
      </c>
      <c r="Q37" s="104">
        <v>1</v>
      </c>
      <c r="R37" s="105">
        <v>500</v>
      </c>
      <c r="S37" s="107" t="s">
        <v>155</v>
      </c>
      <c r="T37" s="107" t="s">
        <v>184</v>
      </c>
      <c r="U37" s="108" t="s">
        <v>477</v>
      </c>
      <c r="V37" s="168"/>
      <c r="W37" s="168"/>
    </row>
    <row r="38" spans="1:23" s="85" customFormat="1" ht="114" customHeight="1">
      <c r="A38" s="93" t="s">
        <v>250</v>
      </c>
      <c r="B38" s="94">
        <v>43523</v>
      </c>
      <c r="C38" s="95" t="s">
        <v>315</v>
      </c>
      <c r="D38" s="96"/>
      <c r="E38" s="97" t="s">
        <v>252</v>
      </c>
      <c r="F38" s="98" t="s">
        <v>253</v>
      </c>
      <c r="G38" s="99">
        <f t="shared" si="0"/>
        <v>2865530.53</v>
      </c>
      <c r="H38" s="100">
        <v>2865530.53</v>
      </c>
      <c r="I38" s="99">
        <f t="shared" si="1"/>
        <v>1295460.03</v>
      </c>
      <c r="J38" s="100">
        <f>824685.03+470775</f>
        <v>1295460.03</v>
      </c>
      <c r="K38" s="99">
        <f t="shared" si="2"/>
        <v>1570070.4999999998</v>
      </c>
      <c r="L38" s="101">
        <f t="shared" si="3"/>
        <v>1570070.4999999998</v>
      </c>
      <c r="M38" s="102" t="s">
        <v>36</v>
      </c>
      <c r="N38" s="144">
        <f t="shared" si="4"/>
        <v>0.45208383454215023</v>
      </c>
      <c r="O38" s="144">
        <v>0.55000000000000004</v>
      </c>
      <c r="P38" s="103" t="s">
        <v>86</v>
      </c>
      <c r="Q38" s="104">
        <v>23.32</v>
      </c>
      <c r="R38" s="105">
        <v>600</v>
      </c>
      <c r="S38" s="107" t="s">
        <v>155</v>
      </c>
      <c r="T38" s="107" t="s">
        <v>478</v>
      </c>
      <c r="U38" s="108" t="s">
        <v>479</v>
      </c>
      <c r="V38" s="168"/>
      <c r="W38" s="168"/>
    </row>
    <row r="39" spans="1:23" s="85" customFormat="1" ht="53.25" customHeight="1">
      <c r="A39" s="93" t="s">
        <v>250</v>
      </c>
      <c r="B39" s="94">
        <v>43515</v>
      </c>
      <c r="C39" s="95" t="s">
        <v>149</v>
      </c>
      <c r="D39" s="96" t="s">
        <v>83</v>
      </c>
      <c r="E39" s="97" t="s">
        <v>150</v>
      </c>
      <c r="F39" s="98" t="s">
        <v>151</v>
      </c>
      <c r="G39" s="99">
        <f t="shared" si="0"/>
        <v>2888142.45</v>
      </c>
      <c r="H39" s="100">
        <v>2888142.45</v>
      </c>
      <c r="I39" s="99">
        <f t="shared" si="1"/>
        <v>1622340.47</v>
      </c>
      <c r="J39" s="100">
        <f>828033.22+394558.48+399748.77</f>
        <v>1622340.47</v>
      </c>
      <c r="K39" s="99">
        <f t="shared" si="2"/>
        <v>1265801.9800000002</v>
      </c>
      <c r="L39" s="101">
        <f t="shared" si="3"/>
        <v>1265801.9800000002</v>
      </c>
      <c r="M39" s="102" t="s">
        <v>36</v>
      </c>
      <c r="N39" s="144">
        <f t="shared" si="4"/>
        <v>0.5617245333588029</v>
      </c>
      <c r="O39" s="144">
        <v>0.9</v>
      </c>
      <c r="P39" s="103" t="s">
        <v>86</v>
      </c>
      <c r="Q39" s="104">
        <v>1689.11</v>
      </c>
      <c r="R39" s="105">
        <v>500</v>
      </c>
      <c r="S39" s="107" t="s">
        <v>155</v>
      </c>
      <c r="T39" s="107" t="s">
        <v>316</v>
      </c>
      <c r="U39" s="108" t="s">
        <v>317</v>
      </c>
      <c r="V39" s="168"/>
      <c r="W39" s="168"/>
    </row>
    <row r="40" spans="1:23" s="85" customFormat="1" ht="82.5" customHeight="1">
      <c r="A40" s="93" t="s">
        <v>250</v>
      </c>
      <c r="B40" s="94">
        <v>43524</v>
      </c>
      <c r="C40" s="95" t="s">
        <v>260</v>
      </c>
      <c r="D40" s="96"/>
      <c r="E40" s="97" t="s">
        <v>261</v>
      </c>
      <c r="F40" s="98" t="s">
        <v>262</v>
      </c>
      <c r="G40" s="99">
        <f t="shared" si="0"/>
        <v>1123209.51</v>
      </c>
      <c r="H40" s="100">
        <v>1123209.51</v>
      </c>
      <c r="I40" s="99">
        <f t="shared" si="1"/>
        <v>852538.07</v>
      </c>
      <c r="J40" s="100">
        <f>323904.47+528633.6</f>
        <v>852538.07</v>
      </c>
      <c r="K40" s="99">
        <f t="shared" si="2"/>
        <v>270671.44000000006</v>
      </c>
      <c r="L40" s="101">
        <f t="shared" si="3"/>
        <v>270671.44000000006</v>
      </c>
      <c r="M40" s="102" t="s">
        <v>36</v>
      </c>
      <c r="N40" s="144">
        <f t="shared" si="4"/>
        <v>0.75901963294452512</v>
      </c>
      <c r="O40" s="144">
        <v>0.97</v>
      </c>
      <c r="P40" s="103" t="s">
        <v>32</v>
      </c>
      <c r="Q40" s="104">
        <v>1</v>
      </c>
      <c r="R40" s="105">
        <v>500</v>
      </c>
      <c r="S40" s="107" t="s">
        <v>155</v>
      </c>
      <c r="T40" s="107" t="s">
        <v>480</v>
      </c>
      <c r="U40" s="108" t="s">
        <v>481</v>
      </c>
      <c r="V40" s="168"/>
      <c r="W40" s="168"/>
    </row>
    <row r="41" spans="1:23" s="85" customFormat="1" ht="64.5" customHeight="1">
      <c r="A41" s="93" t="s">
        <v>250</v>
      </c>
      <c r="B41" s="94">
        <v>43524</v>
      </c>
      <c r="C41" s="95" t="s">
        <v>263</v>
      </c>
      <c r="D41" s="96"/>
      <c r="E41" s="97" t="s">
        <v>264</v>
      </c>
      <c r="F41" s="98" t="s">
        <v>265</v>
      </c>
      <c r="G41" s="99">
        <f t="shared" si="0"/>
        <v>935080.62</v>
      </c>
      <c r="H41" s="100">
        <v>935080.62</v>
      </c>
      <c r="I41" s="99">
        <f t="shared" si="1"/>
        <v>785145.86</v>
      </c>
      <c r="J41" s="100">
        <f>270724.12+288996.89+225424.85</f>
        <v>785145.86</v>
      </c>
      <c r="K41" s="99">
        <f t="shared" si="2"/>
        <v>149934.76</v>
      </c>
      <c r="L41" s="101">
        <f t="shared" si="3"/>
        <v>149934.76</v>
      </c>
      <c r="M41" s="102" t="s">
        <v>36</v>
      </c>
      <c r="N41" s="144">
        <f t="shared" si="4"/>
        <v>0.83965579352933228</v>
      </c>
      <c r="O41" s="144">
        <v>0.99</v>
      </c>
      <c r="P41" s="103" t="s">
        <v>32</v>
      </c>
      <c r="Q41" s="104">
        <v>1</v>
      </c>
      <c r="R41" s="105">
        <v>500</v>
      </c>
      <c r="S41" s="107" t="s">
        <v>155</v>
      </c>
      <c r="T41" s="107" t="s">
        <v>482</v>
      </c>
      <c r="U41" s="108" t="s">
        <v>483</v>
      </c>
      <c r="V41" s="168"/>
      <c r="W41" s="168"/>
    </row>
    <row r="42" spans="1:23" s="85" customFormat="1" ht="90" customHeight="1">
      <c r="A42" s="93" t="s">
        <v>250</v>
      </c>
      <c r="B42" s="94">
        <v>43524</v>
      </c>
      <c r="C42" s="95" t="s">
        <v>266</v>
      </c>
      <c r="D42" s="96"/>
      <c r="E42" s="97" t="s">
        <v>267</v>
      </c>
      <c r="F42" s="98" t="s">
        <v>268</v>
      </c>
      <c r="G42" s="99">
        <f t="shared" si="0"/>
        <v>1039480.3</v>
      </c>
      <c r="H42" s="100">
        <v>1039480.3</v>
      </c>
      <c r="I42" s="99">
        <f t="shared" si="1"/>
        <v>303515.73</v>
      </c>
      <c r="J42" s="100">
        <f>303515.73</f>
        <v>303515.73</v>
      </c>
      <c r="K42" s="99">
        <f t="shared" si="2"/>
        <v>735964.57000000007</v>
      </c>
      <c r="L42" s="101">
        <f t="shared" si="3"/>
        <v>735964.57000000007</v>
      </c>
      <c r="M42" s="102" t="s">
        <v>36</v>
      </c>
      <c r="N42" s="144">
        <f t="shared" si="4"/>
        <v>0.29198795782854181</v>
      </c>
      <c r="O42" s="144">
        <v>0.85</v>
      </c>
      <c r="P42" s="103" t="s">
        <v>32</v>
      </c>
      <c r="Q42" s="104">
        <v>1</v>
      </c>
      <c r="R42" s="105">
        <v>500</v>
      </c>
      <c r="S42" s="107" t="s">
        <v>155</v>
      </c>
      <c r="T42" s="107" t="s">
        <v>484</v>
      </c>
      <c r="U42" s="108" t="s">
        <v>485</v>
      </c>
      <c r="V42" s="168"/>
      <c r="W42" s="168"/>
    </row>
    <row r="43" spans="1:23" s="85" customFormat="1" ht="105" customHeight="1">
      <c r="A43" s="93" t="s">
        <v>250</v>
      </c>
      <c r="B43" s="94">
        <v>43644</v>
      </c>
      <c r="C43" s="95" t="s">
        <v>685</v>
      </c>
      <c r="D43" s="96" t="s">
        <v>318</v>
      </c>
      <c r="E43" s="97" t="s">
        <v>319</v>
      </c>
      <c r="F43" s="98" t="s">
        <v>320</v>
      </c>
      <c r="G43" s="99">
        <f t="shared" si="0"/>
        <v>64879.46</v>
      </c>
      <c r="H43" s="100">
        <v>64879.46</v>
      </c>
      <c r="I43" s="99">
        <f t="shared" si="1"/>
        <v>64879.46</v>
      </c>
      <c r="J43" s="100">
        <f>54569.89+10309.57</f>
        <v>64879.46</v>
      </c>
      <c r="K43" s="99">
        <f t="shared" si="2"/>
        <v>0</v>
      </c>
      <c r="L43" s="101">
        <f t="shared" si="3"/>
        <v>0</v>
      </c>
      <c r="M43" s="102" t="s">
        <v>36</v>
      </c>
      <c r="N43" s="158">
        <f t="shared" si="4"/>
        <v>1</v>
      </c>
      <c r="O43" s="158">
        <v>1</v>
      </c>
      <c r="P43" s="103" t="s">
        <v>32</v>
      </c>
      <c r="Q43" s="104">
        <v>1</v>
      </c>
      <c r="R43" s="105">
        <v>5000</v>
      </c>
      <c r="S43" s="107" t="s">
        <v>155</v>
      </c>
      <c r="T43" s="107" t="s">
        <v>486</v>
      </c>
      <c r="U43" s="108" t="s">
        <v>487</v>
      </c>
      <c r="V43" s="168"/>
      <c r="W43" s="168"/>
    </row>
    <row r="44" spans="1:23" s="85" customFormat="1" ht="53.25" customHeight="1">
      <c r="A44" s="93" t="s">
        <v>250</v>
      </c>
      <c r="B44" s="94">
        <v>43616</v>
      </c>
      <c r="C44" s="95" t="s">
        <v>650</v>
      </c>
      <c r="D44" s="96" t="s">
        <v>41</v>
      </c>
      <c r="E44" s="97" t="s">
        <v>321</v>
      </c>
      <c r="F44" s="98" t="s">
        <v>322</v>
      </c>
      <c r="G44" s="99">
        <f t="shared" si="0"/>
        <v>1983471.64</v>
      </c>
      <c r="H44" s="100">
        <v>1983471.64</v>
      </c>
      <c r="I44" s="99">
        <f t="shared" si="1"/>
        <v>807443.57000000007</v>
      </c>
      <c r="J44" s="100">
        <f>145000+134308.24+379225.39+148909.94</f>
        <v>807443.57000000007</v>
      </c>
      <c r="K44" s="99">
        <f t="shared" si="2"/>
        <v>1176028.0699999998</v>
      </c>
      <c r="L44" s="101">
        <f t="shared" si="3"/>
        <v>1176028.0699999998</v>
      </c>
      <c r="M44" s="102" t="s">
        <v>79</v>
      </c>
      <c r="N44" s="158">
        <f t="shared" si="4"/>
        <v>0.40708601712097081</v>
      </c>
      <c r="O44" s="158">
        <v>0.47199999999999998</v>
      </c>
      <c r="P44" s="103" t="s">
        <v>32</v>
      </c>
      <c r="Q44" s="104">
        <v>1</v>
      </c>
      <c r="R44" s="105">
        <v>877190</v>
      </c>
      <c r="S44" s="107" t="s">
        <v>33</v>
      </c>
      <c r="T44" s="107" t="s">
        <v>33</v>
      </c>
      <c r="U44" s="108" t="s">
        <v>34</v>
      </c>
      <c r="V44" s="168"/>
      <c r="W44" s="168"/>
    </row>
    <row r="45" spans="1:23" s="85" customFormat="1" ht="53.25" customHeight="1">
      <c r="A45" s="93" t="s">
        <v>250</v>
      </c>
      <c r="B45" s="94">
        <v>43616</v>
      </c>
      <c r="C45" s="95" t="s">
        <v>651</v>
      </c>
      <c r="D45" s="96" t="s">
        <v>41</v>
      </c>
      <c r="E45" s="97" t="s">
        <v>323</v>
      </c>
      <c r="F45" s="98" t="s">
        <v>324</v>
      </c>
      <c r="G45" s="99">
        <f t="shared" si="0"/>
        <v>1953519.06</v>
      </c>
      <c r="H45" s="100">
        <v>1953519.06</v>
      </c>
      <c r="I45" s="99">
        <f t="shared" si="1"/>
        <v>667140.71</v>
      </c>
      <c r="J45" s="100">
        <f>199316.25+258130.24+209694.22</f>
        <v>667140.71</v>
      </c>
      <c r="K45" s="99">
        <f t="shared" si="2"/>
        <v>1286378.3500000001</v>
      </c>
      <c r="L45" s="101">
        <f t="shared" si="3"/>
        <v>1286378.3500000001</v>
      </c>
      <c r="M45" s="102" t="s">
        <v>79</v>
      </c>
      <c r="N45" s="158">
        <f t="shared" si="4"/>
        <v>0.34150714147626487</v>
      </c>
      <c r="O45" s="158">
        <v>0.33900000000000002</v>
      </c>
      <c r="P45" s="103" t="s">
        <v>32</v>
      </c>
      <c r="Q45" s="104">
        <v>1</v>
      </c>
      <c r="R45" s="105">
        <v>877190</v>
      </c>
      <c r="S45" s="107" t="s">
        <v>33</v>
      </c>
      <c r="T45" s="107" t="s">
        <v>33</v>
      </c>
      <c r="U45" s="108" t="s">
        <v>34</v>
      </c>
      <c r="V45" s="168"/>
      <c r="W45" s="168"/>
    </row>
    <row r="46" spans="1:23" s="85" customFormat="1" ht="53.25" customHeight="1">
      <c r="A46" s="93" t="s">
        <v>250</v>
      </c>
      <c r="B46" s="94">
        <v>43616</v>
      </c>
      <c r="C46" s="95" t="s">
        <v>652</v>
      </c>
      <c r="D46" s="96" t="s">
        <v>41</v>
      </c>
      <c r="E46" s="97" t="s">
        <v>325</v>
      </c>
      <c r="F46" s="98" t="s">
        <v>326</v>
      </c>
      <c r="G46" s="99">
        <f t="shared" si="0"/>
        <v>14480418.83</v>
      </c>
      <c r="H46" s="100">
        <v>14480418.83</v>
      </c>
      <c r="I46" s="99">
        <f t="shared" si="1"/>
        <v>7273370.1600000001</v>
      </c>
      <c r="J46" s="100">
        <f>297638.36+1201751.28+1306784.57+4467195.95</f>
        <v>7273370.1600000001</v>
      </c>
      <c r="K46" s="99">
        <f t="shared" si="2"/>
        <v>7207048.6699999999</v>
      </c>
      <c r="L46" s="101">
        <f t="shared" si="3"/>
        <v>7207048.6699999999</v>
      </c>
      <c r="M46" s="102" t="s">
        <v>79</v>
      </c>
      <c r="N46" s="158">
        <f t="shared" si="4"/>
        <v>0.50229004046010739</v>
      </c>
      <c r="O46" s="158">
        <v>0.45500000000000002</v>
      </c>
      <c r="P46" s="103" t="s">
        <v>32</v>
      </c>
      <c r="Q46" s="104">
        <v>1</v>
      </c>
      <c r="R46" s="105">
        <v>877190</v>
      </c>
      <c r="S46" s="107" t="s">
        <v>33</v>
      </c>
      <c r="T46" s="107" t="s">
        <v>33</v>
      </c>
      <c r="U46" s="108" t="s">
        <v>34</v>
      </c>
      <c r="V46" s="168"/>
      <c r="W46" s="168"/>
    </row>
    <row r="47" spans="1:23" s="85" customFormat="1" ht="53.25" customHeight="1">
      <c r="A47" s="93" t="s">
        <v>250</v>
      </c>
      <c r="B47" s="94">
        <v>43616</v>
      </c>
      <c r="C47" s="95" t="s">
        <v>653</v>
      </c>
      <c r="D47" s="96" t="s">
        <v>41</v>
      </c>
      <c r="E47" s="97" t="s">
        <v>327</v>
      </c>
      <c r="F47" s="98" t="s">
        <v>328</v>
      </c>
      <c r="G47" s="99">
        <f t="shared" si="0"/>
        <v>2290941.83</v>
      </c>
      <c r="H47" s="100">
        <v>2290941.83</v>
      </c>
      <c r="I47" s="99">
        <f t="shared" si="1"/>
        <v>528918.59000000008</v>
      </c>
      <c r="J47" s="100">
        <f>141663.01+238516.26+148739.32</f>
        <v>528918.59000000008</v>
      </c>
      <c r="K47" s="99">
        <f t="shared" si="2"/>
        <v>1762023.24</v>
      </c>
      <c r="L47" s="101">
        <f t="shared" si="3"/>
        <v>1762023.24</v>
      </c>
      <c r="M47" s="102" t="s">
        <v>79</v>
      </c>
      <c r="N47" s="158">
        <f t="shared" si="4"/>
        <v>0.23087386291252976</v>
      </c>
      <c r="O47" s="158">
        <v>0.21099999999999999</v>
      </c>
      <c r="P47" s="103" t="s">
        <v>32</v>
      </c>
      <c r="Q47" s="104">
        <v>1</v>
      </c>
      <c r="R47" s="105">
        <v>877190</v>
      </c>
      <c r="S47" s="107" t="s">
        <v>33</v>
      </c>
      <c r="T47" s="107" t="s">
        <v>33</v>
      </c>
      <c r="U47" s="108" t="s">
        <v>34</v>
      </c>
      <c r="V47" s="168"/>
      <c r="W47" s="168"/>
    </row>
    <row r="48" spans="1:23" s="85" customFormat="1" ht="53.25" customHeight="1">
      <c r="A48" s="93" t="s">
        <v>250</v>
      </c>
      <c r="B48" s="94">
        <v>43616</v>
      </c>
      <c r="C48" s="95" t="s">
        <v>654</v>
      </c>
      <c r="D48" s="96" t="s">
        <v>41</v>
      </c>
      <c r="E48" s="97" t="s">
        <v>329</v>
      </c>
      <c r="F48" s="98" t="s">
        <v>330</v>
      </c>
      <c r="G48" s="99">
        <f t="shared" si="0"/>
        <v>806000</v>
      </c>
      <c r="H48" s="100">
        <v>806000</v>
      </c>
      <c r="I48" s="99">
        <f t="shared" si="1"/>
        <v>129146.27</v>
      </c>
      <c r="J48" s="100">
        <f>34924.18+52443.95+41778.14</f>
        <v>129146.27</v>
      </c>
      <c r="K48" s="99">
        <f t="shared" si="2"/>
        <v>676853.73</v>
      </c>
      <c r="L48" s="101">
        <f t="shared" si="3"/>
        <v>676853.73</v>
      </c>
      <c r="M48" s="102" t="s">
        <v>79</v>
      </c>
      <c r="N48" s="158">
        <f t="shared" si="4"/>
        <v>0.16023110421836229</v>
      </c>
      <c r="O48" s="158">
        <v>0.152</v>
      </c>
      <c r="P48" s="103" t="s">
        <v>32</v>
      </c>
      <c r="Q48" s="104">
        <v>1</v>
      </c>
      <c r="R48" s="105">
        <v>877190</v>
      </c>
      <c r="S48" s="107" t="s">
        <v>33</v>
      </c>
      <c r="T48" s="107" t="s">
        <v>33</v>
      </c>
      <c r="U48" s="108" t="s">
        <v>34</v>
      </c>
      <c r="V48" s="168"/>
      <c r="W48" s="168"/>
    </row>
    <row r="49" spans="1:23" s="85" customFormat="1" ht="53.25" customHeight="1">
      <c r="A49" s="93" t="s">
        <v>250</v>
      </c>
      <c r="B49" s="94">
        <v>43616</v>
      </c>
      <c r="C49" s="95" t="s">
        <v>655</v>
      </c>
      <c r="D49" s="96" t="s">
        <v>331</v>
      </c>
      <c r="E49" s="97" t="s">
        <v>332</v>
      </c>
      <c r="F49" s="98" t="s">
        <v>333</v>
      </c>
      <c r="G49" s="99">
        <f t="shared" si="0"/>
        <v>1330000</v>
      </c>
      <c r="H49" s="100">
        <v>1330000</v>
      </c>
      <c r="I49" s="99">
        <f t="shared" si="1"/>
        <v>513402.52</v>
      </c>
      <c r="J49" s="100">
        <f>70941+400580.61+41880.91</f>
        <v>513402.52</v>
      </c>
      <c r="K49" s="99">
        <f t="shared" si="2"/>
        <v>816597.48</v>
      </c>
      <c r="L49" s="101">
        <f t="shared" si="3"/>
        <v>816597.48</v>
      </c>
      <c r="M49" s="102" t="s">
        <v>79</v>
      </c>
      <c r="N49" s="158">
        <f t="shared" si="4"/>
        <v>0.38601693233082707</v>
      </c>
      <c r="O49" s="158">
        <v>0.375</v>
      </c>
      <c r="P49" s="103" t="s">
        <v>32</v>
      </c>
      <c r="Q49" s="104">
        <v>1</v>
      </c>
      <c r="R49" s="105">
        <v>877190</v>
      </c>
      <c r="S49" s="107" t="s">
        <v>33</v>
      </c>
      <c r="T49" s="107" t="s">
        <v>33</v>
      </c>
      <c r="U49" s="108" t="s">
        <v>34</v>
      </c>
      <c r="V49" s="168"/>
      <c r="W49" s="168"/>
    </row>
    <row r="50" spans="1:23" s="85" customFormat="1" ht="53.25" customHeight="1">
      <c r="A50" s="93" t="s">
        <v>250</v>
      </c>
      <c r="B50" s="94">
        <v>43616</v>
      </c>
      <c r="C50" s="95" t="s">
        <v>656</v>
      </c>
      <c r="D50" s="96" t="s">
        <v>83</v>
      </c>
      <c r="E50" s="97" t="s">
        <v>334</v>
      </c>
      <c r="F50" s="98" t="s">
        <v>335</v>
      </c>
      <c r="G50" s="99">
        <f t="shared" si="0"/>
        <v>16634158.75</v>
      </c>
      <c r="H50" s="100">
        <v>16634158.75</v>
      </c>
      <c r="I50" s="99">
        <f t="shared" si="1"/>
        <v>8333749.6699999999</v>
      </c>
      <c r="J50" s="100">
        <f>1030684.82+1059153.94+665885.67+5578025.24</f>
        <v>8333749.6699999999</v>
      </c>
      <c r="K50" s="99">
        <f t="shared" si="2"/>
        <v>8300409.0800000001</v>
      </c>
      <c r="L50" s="101">
        <f t="shared" si="3"/>
        <v>8300409.0800000001</v>
      </c>
      <c r="M50" s="102" t="s">
        <v>79</v>
      </c>
      <c r="N50" s="158">
        <f t="shared" si="4"/>
        <v>0.50100217241223577</v>
      </c>
      <c r="O50" s="158">
        <v>0.311</v>
      </c>
      <c r="P50" s="103" t="s">
        <v>32</v>
      </c>
      <c r="Q50" s="104">
        <v>1</v>
      </c>
      <c r="R50" s="105">
        <v>877190</v>
      </c>
      <c r="S50" s="107" t="s">
        <v>33</v>
      </c>
      <c r="T50" s="107" t="s">
        <v>33</v>
      </c>
      <c r="U50" s="108" t="s">
        <v>34</v>
      </c>
      <c r="V50" s="168"/>
      <c r="W50" s="168"/>
    </row>
    <row r="51" spans="1:23" s="85" customFormat="1" ht="53.25" customHeight="1">
      <c r="A51" s="93" t="s">
        <v>250</v>
      </c>
      <c r="B51" s="94">
        <v>43616</v>
      </c>
      <c r="C51" s="95" t="s">
        <v>657</v>
      </c>
      <c r="D51" s="96" t="s">
        <v>83</v>
      </c>
      <c r="E51" s="97" t="s">
        <v>336</v>
      </c>
      <c r="F51" s="98" t="s">
        <v>337</v>
      </c>
      <c r="G51" s="99">
        <f t="shared" si="0"/>
        <v>4092370.55</v>
      </c>
      <c r="H51" s="100">
        <v>4092370.55</v>
      </c>
      <c r="I51" s="99">
        <f t="shared" si="1"/>
        <v>2705470.93</v>
      </c>
      <c r="J51" s="100">
        <f>288014.08+323337.68+1227608.57+866510.6</f>
        <v>2705470.93</v>
      </c>
      <c r="K51" s="99">
        <f t="shared" si="2"/>
        <v>1386899.6199999996</v>
      </c>
      <c r="L51" s="101">
        <f t="shared" si="3"/>
        <v>1386899.6199999996</v>
      </c>
      <c r="M51" s="102" t="s">
        <v>79</v>
      </c>
      <c r="N51" s="158">
        <f t="shared" si="4"/>
        <v>0.6611011629921929</v>
      </c>
      <c r="O51" s="158">
        <v>0.27150000000000002</v>
      </c>
      <c r="P51" s="103" t="s">
        <v>32</v>
      </c>
      <c r="Q51" s="104">
        <v>1</v>
      </c>
      <c r="R51" s="105">
        <v>877190</v>
      </c>
      <c r="S51" s="107" t="s">
        <v>33</v>
      </c>
      <c r="T51" s="107" t="s">
        <v>33</v>
      </c>
      <c r="U51" s="108" t="s">
        <v>34</v>
      </c>
      <c r="V51" s="168"/>
      <c r="W51" s="168"/>
    </row>
    <row r="52" spans="1:23" s="85" customFormat="1" ht="53.25" customHeight="1">
      <c r="A52" s="93" t="s">
        <v>250</v>
      </c>
      <c r="B52" s="94">
        <v>43616</v>
      </c>
      <c r="C52" s="95" t="s">
        <v>658</v>
      </c>
      <c r="D52" s="96" t="s">
        <v>41</v>
      </c>
      <c r="E52" s="97" t="s">
        <v>338</v>
      </c>
      <c r="F52" s="98" t="s">
        <v>339</v>
      </c>
      <c r="G52" s="99">
        <f t="shared" si="0"/>
        <v>1811586.01</v>
      </c>
      <c r="H52" s="100">
        <v>1811586.01</v>
      </c>
      <c r="I52" s="99">
        <f t="shared" si="1"/>
        <v>850178.57000000007</v>
      </c>
      <c r="J52" s="100">
        <f>3841.46+100149.08+225367.1+520820.93</f>
        <v>850178.57000000007</v>
      </c>
      <c r="K52" s="99">
        <f t="shared" si="2"/>
        <v>961407.44</v>
      </c>
      <c r="L52" s="101">
        <f t="shared" si="3"/>
        <v>961407.44</v>
      </c>
      <c r="M52" s="102" t="s">
        <v>79</v>
      </c>
      <c r="N52" s="158">
        <f t="shared" si="4"/>
        <v>0.46930069304299832</v>
      </c>
      <c r="O52" s="158">
        <v>0.50449999999999995</v>
      </c>
      <c r="P52" s="103" t="s">
        <v>32</v>
      </c>
      <c r="Q52" s="104">
        <v>1</v>
      </c>
      <c r="R52" s="105">
        <v>877190</v>
      </c>
      <c r="S52" s="107" t="s">
        <v>33</v>
      </c>
      <c r="T52" s="107" t="s">
        <v>33</v>
      </c>
      <c r="U52" s="108" t="s">
        <v>34</v>
      </c>
      <c r="V52" s="168"/>
      <c r="W52" s="168"/>
    </row>
    <row r="53" spans="1:23" s="85" customFormat="1" ht="53.25" customHeight="1">
      <c r="A53" s="93" t="s">
        <v>250</v>
      </c>
      <c r="B53" s="94">
        <v>43538</v>
      </c>
      <c r="C53" s="95" t="s">
        <v>340</v>
      </c>
      <c r="D53" s="96" t="s">
        <v>83</v>
      </c>
      <c r="E53" s="97" t="s">
        <v>341</v>
      </c>
      <c r="F53" s="98" t="s">
        <v>342</v>
      </c>
      <c r="G53" s="99">
        <f t="shared" si="0"/>
        <v>2148121.04</v>
      </c>
      <c r="H53" s="100">
        <v>2148121.04</v>
      </c>
      <c r="I53" s="99">
        <f t="shared" si="1"/>
        <v>967597.62</v>
      </c>
      <c r="J53" s="100">
        <f>617805+349792.62</f>
        <v>967597.62</v>
      </c>
      <c r="K53" s="99">
        <f t="shared" si="2"/>
        <v>1180523.42</v>
      </c>
      <c r="L53" s="101">
        <f t="shared" si="3"/>
        <v>1180523.42</v>
      </c>
      <c r="M53" s="102" t="s">
        <v>36</v>
      </c>
      <c r="N53" s="158">
        <f t="shared" si="4"/>
        <v>0.45043905905786386</v>
      </c>
      <c r="O53" s="158">
        <v>0.82750000000000001</v>
      </c>
      <c r="P53" s="103" t="s">
        <v>86</v>
      </c>
      <c r="Q53" s="104">
        <v>1200.3</v>
      </c>
      <c r="R53" s="105">
        <v>200</v>
      </c>
      <c r="S53" s="107" t="s">
        <v>155</v>
      </c>
      <c r="T53" s="107" t="s">
        <v>659</v>
      </c>
      <c r="U53" s="108" t="s">
        <v>660</v>
      </c>
      <c r="V53" s="168"/>
      <c r="W53" s="168"/>
    </row>
    <row r="54" spans="1:23" s="85" customFormat="1" ht="53.25" customHeight="1">
      <c r="A54" s="93" t="s">
        <v>250</v>
      </c>
      <c r="B54" s="94">
        <v>43538</v>
      </c>
      <c r="C54" s="95" t="s">
        <v>343</v>
      </c>
      <c r="D54" s="96" t="s">
        <v>83</v>
      </c>
      <c r="E54" s="97" t="s">
        <v>344</v>
      </c>
      <c r="F54" s="98" t="s">
        <v>345</v>
      </c>
      <c r="G54" s="99">
        <f t="shared" si="0"/>
        <v>2291051.7599999998</v>
      </c>
      <c r="H54" s="100">
        <v>2291051.7599999998</v>
      </c>
      <c r="I54" s="99">
        <f t="shared" si="1"/>
        <v>651103.59</v>
      </c>
      <c r="J54" s="100">
        <f>651103.59</f>
        <v>651103.59</v>
      </c>
      <c r="K54" s="99">
        <f t="shared" si="2"/>
        <v>1639948.17</v>
      </c>
      <c r="L54" s="101">
        <f t="shared" si="3"/>
        <v>1639948.17</v>
      </c>
      <c r="M54" s="102" t="s">
        <v>36</v>
      </c>
      <c r="N54" s="158">
        <f t="shared" si="4"/>
        <v>0.28419418599255042</v>
      </c>
      <c r="O54" s="158">
        <v>0.17</v>
      </c>
      <c r="P54" s="103" t="s">
        <v>32</v>
      </c>
      <c r="Q54" s="104">
        <v>1</v>
      </c>
      <c r="R54" s="105">
        <v>500</v>
      </c>
      <c r="S54" s="107" t="s">
        <v>155</v>
      </c>
      <c r="T54" s="107" t="s">
        <v>661</v>
      </c>
      <c r="U54" s="108" t="s">
        <v>662</v>
      </c>
      <c r="V54" s="168"/>
      <c r="W54" s="168"/>
    </row>
    <row r="55" spans="1:23" s="85" customFormat="1" ht="53.25" customHeight="1">
      <c r="A55" s="93" t="s">
        <v>250</v>
      </c>
      <c r="B55" s="94">
        <v>43538</v>
      </c>
      <c r="C55" s="95" t="s">
        <v>346</v>
      </c>
      <c r="D55" s="96" t="s">
        <v>83</v>
      </c>
      <c r="E55" s="97" t="s">
        <v>347</v>
      </c>
      <c r="F55" s="98" t="s">
        <v>348</v>
      </c>
      <c r="G55" s="99">
        <f t="shared" si="0"/>
        <v>2320524.9700000002</v>
      </c>
      <c r="H55" s="100">
        <v>2320524.9700000002</v>
      </c>
      <c r="I55" s="99">
        <f t="shared" si="1"/>
        <v>659589.02</v>
      </c>
      <c r="J55" s="100">
        <f>659589.02</f>
        <v>659589.02</v>
      </c>
      <c r="K55" s="99">
        <f t="shared" si="2"/>
        <v>1660935.9500000002</v>
      </c>
      <c r="L55" s="101">
        <f t="shared" si="3"/>
        <v>1660935.9500000002</v>
      </c>
      <c r="M55" s="102" t="s">
        <v>36</v>
      </c>
      <c r="N55" s="158">
        <f t="shared" si="4"/>
        <v>0.28424129389997471</v>
      </c>
      <c r="O55" s="158">
        <v>0.17</v>
      </c>
      <c r="P55" s="103" t="s">
        <v>32</v>
      </c>
      <c r="Q55" s="104">
        <v>1</v>
      </c>
      <c r="R55" s="105">
        <v>500</v>
      </c>
      <c r="S55" s="107" t="s">
        <v>155</v>
      </c>
      <c r="T55" s="107" t="s">
        <v>663</v>
      </c>
      <c r="U55" s="108" t="s">
        <v>664</v>
      </c>
      <c r="V55" s="168"/>
      <c r="W55" s="168"/>
    </row>
    <row r="56" spans="1:23" s="85" customFormat="1" ht="53.25" customHeight="1">
      <c r="A56" s="93" t="s">
        <v>250</v>
      </c>
      <c r="B56" s="94">
        <v>43550</v>
      </c>
      <c r="C56" s="95" t="s">
        <v>349</v>
      </c>
      <c r="D56" s="96"/>
      <c r="E56" s="97" t="s">
        <v>350</v>
      </c>
      <c r="F56" s="98" t="s">
        <v>351</v>
      </c>
      <c r="G56" s="99">
        <f t="shared" si="0"/>
        <v>328736.18</v>
      </c>
      <c r="H56" s="100">
        <v>328736.18</v>
      </c>
      <c r="I56" s="99">
        <f t="shared" si="1"/>
        <v>98370.08</v>
      </c>
      <c r="J56" s="100">
        <f>98370.08</f>
        <v>98370.08</v>
      </c>
      <c r="K56" s="99">
        <f t="shared" si="2"/>
        <v>230366.09999999998</v>
      </c>
      <c r="L56" s="101">
        <f t="shared" si="3"/>
        <v>230366.09999999998</v>
      </c>
      <c r="M56" s="102" t="s">
        <v>36</v>
      </c>
      <c r="N56" s="158">
        <f t="shared" si="4"/>
        <v>0.29923715728521272</v>
      </c>
      <c r="O56" s="158">
        <v>0.85</v>
      </c>
      <c r="P56" s="159" t="s">
        <v>352</v>
      </c>
      <c r="Q56" s="104">
        <v>8</v>
      </c>
      <c r="R56" s="105">
        <v>200</v>
      </c>
      <c r="S56" s="107" t="s">
        <v>162</v>
      </c>
      <c r="T56" s="107" t="s">
        <v>665</v>
      </c>
      <c r="U56" s="108" t="s">
        <v>666</v>
      </c>
      <c r="V56" s="168"/>
      <c r="W56" s="168"/>
    </row>
    <row r="57" spans="1:23" s="85" customFormat="1" ht="53.25" customHeight="1">
      <c r="A57" s="93" t="s">
        <v>139</v>
      </c>
      <c r="B57" s="94">
        <v>43587</v>
      </c>
      <c r="C57" s="95" t="s">
        <v>624</v>
      </c>
      <c r="D57" s="96"/>
      <c r="E57" s="97" t="s">
        <v>625</v>
      </c>
      <c r="F57" s="98" t="s">
        <v>626</v>
      </c>
      <c r="G57" s="99">
        <f t="shared" si="0"/>
        <v>1782526.84</v>
      </c>
      <c r="H57" s="100">
        <v>1782526.84</v>
      </c>
      <c r="I57" s="99">
        <f t="shared" si="1"/>
        <v>0</v>
      </c>
      <c r="J57" s="100">
        <v>0</v>
      </c>
      <c r="K57" s="99">
        <f t="shared" si="2"/>
        <v>1782526.84</v>
      </c>
      <c r="L57" s="101">
        <f t="shared" si="3"/>
        <v>1782526.84</v>
      </c>
      <c r="M57" s="102" t="s">
        <v>79</v>
      </c>
      <c r="N57" s="158">
        <f t="shared" si="4"/>
        <v>0</v>
      </c>
      <c r="O57" s="158">
        <v>0</v>
      </c>
      <c r="P57" s="159" t="s">
        <v>627</v>
      </c>
      <c r="Q57" s="104">
        <v>197</v>
      </c>
      <c r="R57" s="105">
        <v>1000000</v>
      </c>
      <c r="S57" s="107" t="s">
        <v>33</v>
      </c>
      <c r="T57" s="107" t="s">
        <v>33</v>
      </c>
      <c r="U57" s="108" t="s">
        <v>34</v>
      </c>
      <c r="V57" s="168"/>
      <c r="W57" s="168"/>
    </row>
    <row r="58" spans="1:23" s="85" customFormat="1" ht="108.75" customHeight="1">
      <c r="A58" s="93" t="s">
        <v>250</v>
      </c>
      <c r="B58" s="94">
        <v>43502</v>
      </c>
      <c r="C58" s="95" t="s">
        <v>152</v>
      </c>
      <c r="D58" s="96" t="s">
        <v>133</v>
      </c>
      <c r="E58" s="97" t="s">
        <v>153</v>
      </c>
      <c r="F58" s="98" t="s">
        <v>154</v>
      </c>
      <c r="G58" s="99">
        <f t="shared" si="0"/>
        <v>1549614.96</v>
      </c>
      <c r="H58" s="100">
        <v>1549614.96</v>
      </c>
      <c r="I58" s="99">
        <f t="shared" si="1"/>
        <v>1160334.48</v>
      </c>
      <c r="J58" s="100">
        <f>202983.45+111950.35+297360.72+318969.57+229070.39</f>
        <v>1160334.48</v>
      </c>
      <c r="K58" s="99">
        <f t="shared" si="2"/>
        <v>389280.48</v>
      </c>
      <c r="L58" s="101">
        <f t="shared" si="3"/>
        <v>389280.48</v>
      </c>
      <c r="M58" s="102" t="s">
        <v>36</v>
      </c>
      <c r="N58" s="144">
        <f t="shared" si="4"/>
        <v>0.74878889914692104</v>
      </c>
      <c r="O58" s="144">
        <v>0</v>
      </c>
      <c r="P58" s="103" t="s">
        <v>32</v>
      </c>
      <c r="Q58" s="104">
        <v>1</v>
      </c>
      <c r="R58" s="105">
        <v>50000</v>
      </c>
      <c r="S58" s="107" t="s">
        <v>155</v>
      </c>
      <c r="T58" s="107" t="s">
        <v>156</v>
      </c>
      <c r="U58" s="108" t="s">
        <v>157</v>
      </c>
      <c r="V58" s="168"/>
      <c r="W58" s="168"/>
    </row>
    <row r="59" spans="1:23" s="85" customFormat="1" ht="61.5" customHeight="1">
      <c r="A59" s="93" t="s">
        <v>139</v>
      </c>
      <c r="B59" s="94">
        <v>43594</v>
      </c>
      <c r="C59" s="95" t="s">
        <v>628</v>
      </c>
      <c r="D59" s="96"/>
      <c r="E59" s="97" t="s">
        <v>629</v>
      </c>
      <c r="F59" s="98" t="s">
        <v>630</v>
      </c>
      <c r="G59" s="99">
        <f t="shared" si="0"/>
        <v>1500000</v>
      </c>
      <c r="H59" s="100">
        <v>1500000</v>
      </c>
      <c r="I59" s="99">
        <f t="shared" si="1"/>
        <v>0</v>
      </c>
      <c r="J59" s="100">
        <v>0</v>
      </c>
      <c r="K59" s="99">
        <f t="shared" si="2"/>
        <v>1500000</v>
      </c>
      <c r="L59" s="101">
        <f t="shared" si="3"/>
        <v>1500000</v>
      </c>
      <c r="M59" s="102" t="s">
        <v>36</v>
      </c>
      <c r="N59" s="144">
        <f t="shared" si="4"/>
        <v>0</v>
      </c>
      <c r="O59" s="144">
        <v>0</v>
      </c>
      <c r="P59" s="103" t="s">
        <v>32</v>
      </c>
      <c r="Q59" s="104">
        <v>1</v>
      </c>
      <c r="R59" s="105">
        <v>5000</v>
      </c>
      <c r="S59" s="107" t="s">
        <v>33</v>
      </c>
      <c r="T59" s="107" t="s">
        <v>33</v>
      </c>
      <c r="U59" s="108" t="s">
        <v>34</v>
      </c>
      <c r="V59" s="168"/>
      <c r="W59" s="168"/>
    </row>
    <row r="60" spans="1:23" s="85" customFormat="1" ht="63.75" customHeight="1">
      <c r="A60" s="93" t="s">
        <v>250</v>
      </c>
      <c r="B60" s="94">
        <v>43560</v>
      </c>
      <c r="C60" s="95" t="s">
        <v>488</v>
      </c>
      <c r="D60" s="96"/>
      <c r="E60" s="97" t="s">
        <v>489</v>
      </c>
      <c r="F60" s="98" t="s">
        <v>490</v>
      </c>
      <c r="G60" s="99">
        <f t="shared" si="0"/>
        <v>2146556.71</v>
      </c>
      <c r="H60" s="100">
        <v>2146556.71</v>
      </c>
      <c r="I60" s="99">
        <f t="shared" si="1"/>
        <v>620063.07999999996</v>
      </c>
      <c r="J60" s="100">
        <f>620063.08</f>
        <v>620063.07999999996</v>
      </c>
      <c r="K60" s="99">
        <f t="shared" si="2"/>
        <v>1526493.63</v>
      </c>
      <c r="L60" s="101">
        <f t="shared" si="3"/>
        <v>1526493.63</v>
      </c>
      <c r="M60" s="102" t="s">
        <v>36</v>
      </c>
      <c r="N60" s="158">
        <f t="shared" si="4"/>
        <v>0.28886405707865037</v>
      </c>
      <c r="O60" s="144">
        <v>0.1</v>
      </c>
      <c r="P60" s="103" t="s">
        <v>32</v>
      </c>
      <c r="Q60" s="104">
        <v>1</v>
      </c>
      <c r="R60" s="105">
        <v>100000</v>
      </c>
      <c r="S60" s="107" t="s">
        <v>155</v>
      </c>
      <c r="T60" s="107" t="s">
        <v>667</v>
      </c>
      <c r="U60" s="108" t="s">
        <v>668</v>
      </c>
      <c r="V60" s="168"/>
      <c r="W60" s="168"/>
    </row>
    <row r="61" spans="1:23" s="85" customFormat="1" ht="63" customHeight="1">
      <c r="A61" s="93" t="s">
        <v>250</v>
      </c>
      <c r="B61" s="94">
        <v>43560</v>
      </c>
      <c r="C61" s="95" t="s">
        <v>491</v>
      </c>
      <c r="D61" s="96"/>
      <c r="E61" s="97" t="s">
        <v>492</v>
      </c>
      <c r="F61" s="98" t="s">
        <v>493</v>
      </c>
      <c r="G61" s="99">
        <f t="shared" si="0"/>
        <v>855072.51</v>
      </c>
      <c r="H61" s="100">
        <v>855072.51</v>
      </c>
      <c r="I61" s="99">
        <f t="shared" si="1"/>
        <v>829431.35</v>
      </c>
      <c r="J61" s="100">
        <f>255151.89+574279.46</f>
        <v>829431.35</v>
      </c>
      <c r="K61" s="99">
        <f t="shared" si="2"/>
        <v>25641.160000000033</v>
      </c>
      <c r="L61" s="101">
        <f t="shared" si="3"/>
        <v>25641.160000000033</v>
      </c>
      <c r="M61" s="102" t="s">
        <v>36</v>
      </c>
      <c r="N61" s="158">
        <f t="shared" si="4"/>
        <v>0.97001288229930349</v>
      </c>
      <c r="O61" s="144">
        <v>1</v>
      </c>
      <c r="P61" s="103" t="s">
        <v>32</v>
      </c>
      <c r="Q61" s="104">
        <v>1</v>
      </c>
      <c r="R61" s="105">
        <v>5000</v>
      </c>
      <c r="S61" s="107" t="s">
        <v>162</v>
      </c>
      <c r="T61" s="107" t="s">
        <v>669</v>
      </c>
      <c r="U61" s="108" t="s">
        <v>670</v>
      </c>
      <c r="V61" s="168"/>
      <c r="W61" s="168"/>
    </row>
    <row r="62" spans="1:23" s="85" customFormat="1" ht="63" customHeight="1">
      <c r="A62" s="93" t="s">
        <v>139</v>
      </c>
      <c r="B62" s="94">
        <v>43595</v>
      </c>
      <c r="C62" s="95" t="s">
        <v>631</v>
      </c>
      <c r="D62" s="96"/>
      <c r="E62" s="97" t="s">
        <v>632</v>
      </c>
      <c r="F62" s="98" t="s">
        <v>633</v>
      </c>
      <c r="G62" s="99">
        <f t="shared" si="0"/>
        <v>1083342.28</v>
      </c>
      <c r="H62" s="100">
        <v>1083342.28</v>
      </c>
      <c r="I62" s="99">
        <f t="shared" si="1"/>
        <v>0</v>
      </c>
      <c r="J62" s="100">
        <f>0</f>
        <v>0</v>
      </c>
      <c r="K62" s="99">
        <f t="shared" si="2"/>
        <v>1083342.28</v>
      </c>
      <c r="L62" s="101">
        <f t="shared" si="3"/>
        <v>1083342.28</v>
      </c>
      <c r="M62" s="102" t="s">
        <v>36</v>
      </c>
      <c r="N62" s="158">
        <f t="shared" si="4"/>
        <v>0</v>
      </c>
      <c r="O62" s="144">
        <v>0</v>
      </c>
      <c r="P62" s="103" t="s">
        <v>32</v>
      </c>
      <c r="Q62" s="104">
        <v>1</v>
      </c>
      <c r="R62" s="105">
        <v>5000</v>
      </c>
      <c r="S62" s="107" t="s">
        <v>33</v>
      </c>
      <c r="T62" s="107" t="s">
        <v>33</v>
      </c>
      <c r="U62" s="108" t="s">
        <v>34</v>
      </c>
      <c r="V62" s="168"/>
      <c r="W62" s="168"/>
    </row>
    <row r="63" spans="1:23" s="85" customFormat="1" ht="54" customHeight="1">
      <c r="A63" s="93" t="s">
        <v>250</v>
      </c>
      <c r="B63" s="94">
        <v>43566</v>
      </c>
      <c r="C63" s="95" t="s">
        <v>494</v>
      </c>
      <c r="D63" s="96"/>
      <c r="E63" s="97" t="s">
        <v>495</v>
      </c>
      <c r="F63" s="98" t="s">
        <v>496</v>
      </c>
      <c r="G63" s="99">
        <f t="shared" si="0"/>
        <v>627814.27</v>
      </c>
      <c r="H63" s="100">
        <v>627814.27</v>
      </c>
      <c r="I63" s="99">
        <f t="shared" si="1"/>
        <v>536880.47</v>
      </c>
      <c r="J63" s="100">
        <f>185979.16+350901.31</f>
        <v>536880.47</v>
      </c>
      <c r="K63" s="99">
        <f t="shared" si="2"/>
        <v>90933.800000000047</v>
      </c>
      <c r="L63" s="101">
        <f t="shared" si="3"/>
        <v>90933.800000000047</v>
      </c>
      <c r="M63" s="102" t="s">
        <v>36</v>
      </c>
      <c r="N63" s="158">
        <f t="shared" si="4"/>
        <v>0.85515811865824576</v>
      </c>
      <c r="O63" s="144">
        <v>1</v>
      </c>
      <c r="P63" s="103" t="s">
        <v>32</v>
      </c>
      <c r="Q63" s="104">
        <v>1</v>
      </c>
      <c r="R63" s="105">
        <v>2000</v>
      </c>
      <c r="S63" s="107" t="s">
        <v>162</v>
      </c>
      <c r="T63" s="107" t="s">
        <v>248</v>
      </c>
      <c r="U63" s="108" t="s">
        <v>671</v>
      </c>
      <c r="V63" s="168"/>
      <c r="W63" s="168"/>
    </row>
    <row r="64" spans="1:23" s="85" customFormat="1" ht="54" customHeight="1">
      <c r="A64" s="93" t="s">
        <v>250</v>
      </c>
      <c r="B64" s="94">
        <v>43566</v>
      </c>
      <c r="C64" s="95" t="s">
        <v>497</v>
      </c>
      <c r="D64" s="96"/>
      <c r="E64" s="97" t="s">
        <v>498</v>
      </c>
      <c r="F64" s="98" t="s">
        <v>499</v>
      </c>
      <c r="G64" s="99">
        <f t="shared" si="0"/>
        <v>1095229.08</v>
      </c>
      <c r="H64" s="100">
        <v>1095229.08</v>
      </c>
      <c r="I64" s="99">
        <f t="shared" si="1"/>
        <v>925554.22</v>
      </c>
      <c r="J64" s="100">
        <f>320856.86+604697.36</f>
        <v>925554.22</v>
      </c>
      <c r="K64" s="99">
        <f t="shared" si="2"/>
        <v>169674.8600000001</v>
      </c>
      <c r="L64" s="101">
        <f t="shared" si="3"/>
        <v>169674.8600000001</v>
      </c>
      <c r="M64" s="102" t="s">
        <v>36</v>
      </c>
      <c r="N64" s="158">
        <f t="shared" si="4"/>
        <v>0.84507820044369153</v>
      </c>
      <c r="O64" s="144">
        <v>1</v>
      </c>
      <c r="P64" s="103" t="s">
        <v>32</v>
      </c>
      <c r="Q64" s="104">
        <v>1</v>
      </c>
      <c r="R64" s="105">
        <v>2000</v>
      </c>
      <c r="S64" s="107" t="s">
        <v>162</v>
      </c>
      <c r="T64" s="107" t="s">
        <v>672</v>
      </c>
      <c r="U64" s="108" t="s">
        <v>673</v>
      </c>
      <c r="V64" s="168"/>
      <c r="W64" s="168"/>
    </row>
    <row r="65" spans="1:23" s="85" customFormat="1" ht="54" customHeight="1">
      <c r="A65" s="93" t="s">
        <v>250</v>
      </c>
      <c r="B65" s="94">
        <v>43570</v>
      </c>
      <c r="C65" s="95" t="s">
        <v>500</v>
      </c>
      <c r="D65" s="96"/>
      <c r="E65" s="97" t="s">
        <v>501</v>
      </c>
      <c r="F65" s="98" t="s">
        <v>502</v>
      </c>
      <c r="G65" s="99">
        <f t="shared" si="0"/>
        <v>1050001.2</v>
      </c>
      <c r="H65" s="100">
        <v>1050001.2</v>
      </c>
      <c r="I65" s="99">
        <f t="shared" si="1"/>
        <v>739854.99</v>
      </c>
      <c r="J65" s="100">
        <f>311018.78+428836.21</f>
        <v>739854.99</v>
      </c>
      <c r="K65" s="99">
        <f t="shared" si="2"/>
        <v>310146.20999999996</v>
      </c>
      <c r="L65" s="101">
        <f t="shared" si="3"/>
        <v>310146.20999999996</v>
      </c>
      <c r="M65" s="102" t="s">
        <v>36</v>
      </c>
      <c r="N65" s="158">
        <f t="shared" si="4"/>
        <v>0.70462299471657752</v>
      </c>
      <c r="O65" s="144">
        <v>0.95</v>
      </c>
      <c r="P65" s="103" t="s">
        <v>32</v>
      </c>
      <c r="Q65" s="104">
        <v>1</v>
      </c>
      <c r="R65" s="105">
        <v>2000</v>
      </c>
      <c r="S65" s="107" t="s">
        <v>155</v>
      </c>
      <c r="T65" s="107" t="s">
        <v>225</v>
      </c>
      <c r="U65" s="108" t="s">
        <v>674</v>
      </c>
      <c r="V65" s="168"/>
      <c r="W65" s="168"/>
    </row>
    <row r="66" spans="1:23" s="85" customFormat="1" ht="54" customHeight="1">
      <c r="A66" s="93" t="s">
        <v>250</v>
      </c>
      <c r="B66" s="94">
        <v>43570</v>
      </c>
      <c r="C66" s="95" t="s">
        <v>503</v>
      </c>
      <c r="D66" s="96"/>
      <c r="E66" s="97" t="s">
        <v>504</v>
      </c>
      <c r="F66" s="98" t="s">
        <v>505</v>
      </c>
      <c r="G66" s="99">
        <f t="shared" si="0"/>
        <v>2500002.37</v>
      </c>
      <c r="H66" s="100">
        <v>2500002.37</v>
      </c>
      <c r="I66" s="99">
        <f t="shared" si="1"/>
        <v>1696395.02</v>
      </c>
      <c r="J66" s="100">
        <f>1696395.02</f>
        <v>1696395.02</v>
      </c>
      <c r="K66" s="99">
        <f t="shared" si="2"/>
        <v>803607.35000000009</v>
      </c>
      <c r="L66" s="101">
        <f t="shared" si="3"/>
        <v>803607.35000000009</v>
      </c>
      <c r="M66" s="102" t="s">
        <v>36</v>
      </c>
      <c r="N66" s="158">
        <f t="shared" si="4"/>
        <v>0.67855736472761818</v>
      </c>
      <c r="O66" s="144">
        <v>0.82</v>
      </c>
      <c r="P66" s="103" t="s">
        <v>32</v>
      </c>
      <c r="Q66" s="104">
        <v>1</v>
      </c>
      <c r="R66" s="105">
        <v>2000</v>
      </c>
      <c r="S66" s="107" t="s">
        <v>155</v>
      </c>
      <c r="T66" s="107" t="s">
        <v>672</v>
      </c>
      <c r="U66" s="108" t="s">
        <v>686</v>
      </c>
      <c r="V66" s="168"/>
      <c r="W66" s="168"/>
    </row>
    <row r="67" spans="1:23" s="85" customFormat="1" ht="54" customHeight="1">
      <c r="A67" s="93" t="s">
        <v>250</v>
      </c>
      <c r="B67" s="94">
        <v>43570</v>
      </c>
      <c r="C67" s="95" t="s">
        <v>506</v>
      </c>
      <c r="D67" s="96"/>
      <c r="E67" s="97" t="s">
        <v>507</v>
      </c>
      <c r="F67" s="98" t="s">
        <v>508</v>
      </c>
      <c r="G67" s="99">
        <f t="shared" si="0"/>
        <v>2190003.27</v>
      </c>
      <c r="H67" s="100">
        <v>2190003.27</v>
      </c>
      <c r="I67" s="99">
        <f t="shared" si="1"/>
        <v>1712056.62</v>
      </c>
      <c r="J67" s="100">
        <f>650903.68+1061152.94</f>
        <v>1712056.62</v>
      </c>
      <c r="K67" s="99">
        <f t="shared" si="2"/>
        <v>477946.64999999991</v>
      </c>
      <c r="L67" s="101">
        <f t="shared" si="3"/>
        <v>477946.64999999991</v>
      </c>
      <c r="M67" s="102" t="s">
        <v>36</v>
      </c>
      <c r="N67" s="158">
        <f t="shared" si="4"/>
        <v>0.78175984641338003</v>
      </c>
      <c r="O67" s="144">
        <v>0.92</v>
      </c>
      <c r="P67" s="103" t="s">
        <v>32</v>
      </c>
      <c r="Q67" s="104">
        <v>1</v>
      </c>
      <c r="R67" s="105">
        <v>2000</v>
      </c>
      <c r="S67" s="107" t="s">
        <v>155</v>
      </c>
      <c r="T67" s="107" t="s">
        <v>675</v>
      </c>
      <c r="U67" s="108" t="s">
        <v>676</v>
      </c>
      <c r="V67" s="168"/>
      <c r="W67" s="168"/>
    </row>
    <row r="68" spans="1:23" s="85" customFormat="1" ht="54" customHeight="1">
      <c r="A68" s="93" t="s">
        <v>250</v>
      </c>
      <c r="B68" s="94">
        <v>43570</v>
      </c>
      <c r="C68" s="95" t="s">
        <v>509</v>
      </c>
      <c r="D68" s="96"/>
      <c r="E68" s="97" t="s">
        <v>442</v>
      </c>
      <c r="F68" s="98" t="s">
        <v>510</v>
      </c>
      <c r="G68" s="99">
        <f t="shared" si="0"/>
        <v>670000</v>
      </c>
      <c r="H68" s="100">
        <v>670000</v>
      </c>
      <c r="I68" s="99">
        <f t="shared" si="1"/>
        <v>200139</v>
      </c>
      <c r="J68" s="100">
        <f>200139</f>
        <v>200139</v>
      </c>
      <c r="K68" s="99">
        <f t="shared" si="2"/>
        <v>469861</v>
      </c>
      <c r="L68" s="101">
        <f t="shared" si="3"/>
        <v>469861</v>
      </c>
      <c r="M68" s="102" t="s">
        <v>36</v>
      </c>
      <c r="N68" s="158">
        <f t="shared" si="4"/>
        <v>0.29871492537313432</v>
      </c>
      <c r="O68" s="144">
        <v>1</v>
      </c>
      <c r="P68" s="103" t="s">
        <v>32</v>
      </c>
      <c r="Q68" s="104">
        <v>1</v>
      </c>
      <c r="R68" s="105">
        <v>2000</v>
      </c>
      <c r="S68" s="107" t="s">
        <v>155</v>
      </c>
      <c r="T68" s="107" t="s">
        <v>239</v>
      </c>
      <c r="U68" s="108" t="s">
        <v>677</v>
      </c>
      <c r="V68" s="168"/>
      <c r="W68" s="168"/>
    </row>
    <row r="69" spans="1:23" s="85" customFormat="1" ht="58.5" customHeight="1">
      <c r="A69" s="93" t="s">
        <v>250</v>
      </c>
      <c r="B69" s="94">
        <v>43594</v>
      </c>
      <c r="C69" s="95" t="s">
        <v>634</v>
      </c>
      <c r="D69" s="96"/>
      <c r="E69" s="97" t="s">
        <v>635</v>
      </c>
      <c r="F69" s="98" t="s">
        <v>636</v>
      </c>
      <c r="G69" s="99">
        <f t="shared" si="0"/>
        <v>1831800.78</v>
      </c>
      <c r="H69" s="100">
        <v>1831800.78</v>
      </c>
      <c r="I69" s="99">
        <f t="shared" si="1"/>
        <v>534605.17000000004</v>
      </c>
      <c r="J69" s="100">
        <f>534605.17</f>
        <v>534605.17000000004</v>
      </c>
      <c r="K69" s="99">
        <f t="shared" si="2"/>
        <v>1297195.6099999999</v>
      </c>
      <c r="L69" s="101">
        <f t="shared" si="3"/>
        <v>1297195.6099999999</v>
      </c>
      <c r="M69" s="102" t="s">
        <v>36</v>
      </c>
      <c r="N69" s="158">
        <f t="shared" si="4"/>
        <v>0.29184678587155094</v>
      </c>
      <c r="O69" s="158">
        <v>0.17749999999999999</v>
      </c>
      <c r="P69" s="103" t="s">
        <v>86</v>
      </c>
      <c r="Q69" s="104">
        <v>10215.86</v>
      </c>
      <c r="R69" s="105">
        <v>500000</v>
      </c>
      <c r="S69" s="107" t="s">
        <v>155</v>
      </c>
      <c r="T69" s="107" t="s">
        <v>288</v>
      </c>
      <c r="U69" s="108" t="s">
        <v>687</v>
      </c>
      <c r="V69" s="168"/>
      <c r="W69" s="168"/>
    </row>
    <row r="70" spans="1:23" s="85" customFormat="1" ht="54" customHeight="1">
      <c r="A70" s="93" t="s">
        <v>250</v>
      </c>
      <c r="B70" s="94">
        <v>43594</v>
      </c>
      <c r="C70" s="95" t="s">
        <v>637</v>
      </c>
      <c r="D70" s="96"/>
      <c r="E70" s="97" t="s">
        <v>638</v>
      </c>
      <c r="F70" s="98" t="s">
        <v>639</v>
      </c>
      <c r="G70" s="99">
        <f t="shared" si="0"/>
        <v>292642.25</v>
      </c>
      <c r="H70" s="100">
        <v>292642.25</v>
      </c>
      <c r="I70" s="99">
        <f t="shared" si="1"/>
        <v>196120.91999999998</v>
      </c>
      <c r="J70" s="100">
        <f>87380.61+108740.31</f>
        <v>196120.91999999998</v>
      </c>
      <c r="K70" s="99">
        <f t="shared" si="2"/>
        <v>96521.330000000016</v>
      </c>
      <c r="L70" s="101">
        <f t="shared" si="3"/>
        <v>96521.330000000016</v>
      </c>
      <c r="M70" s="102" t="s">
        <v>36</v>
      </c>
      <c r="N70" s="158">
        <f t="shared" si="4"/>
        <v>0.67017295007812439</v>
      </c>
      <c r="O70" s="144">
        <v>0.97</v>
      </c>
      <c r="P70" s="103" t="s">
        <v>32</v>
      </c>
      <c r="Q70" s="104">
        <v>1</v>
      </c>
      <c r="R70" s="105">
        <v>2000</v>
      </c>
      <c r="S70" s="107" t="s">
        <v>155</v>
      </c>
      <c r="T70" s="107" t="s">
        <v>225</v>
      </c>
      <c r="U70" s="108" t="s">
        <v>640</v>
      </c>
      <c r="V70" s="168"/>
      <c r="W70" s="168"/>
    </row>
    <row r="71" spans="1:23" s="85" customFormat="1" ht="87.75" customHeight="1">
      <c r="A71" s="93" t="s">
        <v>250</v>
      </c>
      <c r="B71" s="94">
        <v>43502</v>
      </c>
      <c r="C71" s="95" t="s">
        <v>158</v>
      </c>
      <c r="D71" s="96" t="s">
        <v>159</v>
      </c>
      <c r="E71" s="97" t="s">
        <v>160</v>
      </c>
      <c r="F71" s="98" t="s">
        <v>161</v>
      </c>
      <c r="G71" s="99">
        <f t="shared" si="0"/>
        <v>9519833.8499999996</v>
      </c>
      <c r="H71" s="100">
        <v>9519833.8499999996</v>
      </c>
      <c r="I71" s="99">
        <f t="shared" si="1"/>
        <v>9519833.790000001</v>
      </c>
      <c r="J71" s="100">
        <f>3585711.65+1499378.09+4270279.99+164464.06</f>
        <v>9519833.790000001</v>
      </c>
      <c r="K71" s="99">
        <f t="shared" si="2"/>
        <v>5.9999998658895493E-2</v>
      </c>
      <c r="L71" s="101">
        <f t="shared" si="3"/>
        <v>5.9999998658895493E-2</v>
      </c>
      <c r="M71" s="102" t="s">
        <v>36</v>
      </c>
      <c r="N71" s="144">
        <f t="shared" si="4"/>
        <v>0.99999999369736914</v>
      </c>
      <c r="O71" s="144">
        <v>0</v>
      </c>
      <c r="P71" s="103" t="s">
        <v>32</v>
      </c>
      <c r="Q71" s="104">
        <v>1</v>
      </c>
      <c r="R71" s="105">
        <v>1100000</v>
      </c>
      <c r="S71" s="107" t="s">
        <v>162</v>
      </c>
      <c r="T71" s="107" t="s">
        <v>163</v>
      </c>
      <c r="U71" s="108" t="s">
        <v>164</v>
      </c>
      <c r="V71" s="168"/>
      <c r="W71" s="168"/>
    </row>
    <row r="72" spans="1:23" s="85" customFormat="1" ht="55.5" customHeight="1">
      <c r="A72" s="93" t="s">
        <v>250</v>
      </c>
      <c r="B72" s="94">
        <v>43502</v>
      </c>
      <c r="C72" s="95" t="s">
        <v>165</v>
      </c>
      <c r="D72" s="96" t="s">
        <v>83</v>
      </c>
      <c r="E72" s="97" t="s">
        <v>166</v>
      </c>
      <c r="F72" s="98" t="s">
        <v>167</v>
      </c>
      <c r="G72" s="99">
        <f t="shared" si="0"/>
        <v>1341207.98</v>
      </c>
      <c r="H72" s="100">
        <v>1341207.98</v>
      </c>
      <c r="I72" s="99">
        <f t="shared" si="1"/>
        <v>627294.65999999992</v>
      </c>
      <c r="J72" s="100">
        <f>359878.41+267416.25</f>
        <v>627294.65999999992</v>
      </c>
      <c r="K72" s="99">
        <f t="shared" si="2"/>
        <v>713913.32000000007</v>
      </c>
      <c r="L72" s="101">
        <f t="shared" si="3"/>
        <v>713913.32000000007</v>
      </c>
      <c r="M72" s="102" t="s">
        <v>36</v>
      </c>
      <c r="N72" s="144">
        <f t="shared" si="4"/>
        <v>0.46770871434868733</v>
      </c>
      <c r="O72" s="144">
        <v>0</v>
      </c>
      <c r="P72" s="103" t="s">
        <v>86</v>
      </c>
      <c r="Q72" s="104">
        <v>750</v>
      </c>
      <c r="R72" s="105">
        <v>100000</v>
      </c>
      <c r="S72" s="107" t="s">
        <v>155</v>
      </c>
      <c r="T72" s="107" t="s">
        <v>353</v>
      </c>
      <c r="U72" s="108" t="s">
        <v>354</v>
      </c>
      <c r="V72" s="168"/>
      <c r="W72" s="168"/>
    </row>
    <row r="73" spans="1:23" s="85" customFormat="1" ht="82.5" customHeight="1">
      <c r="A73" s="93" t="s">
        <v>250</v>
      </c>
      <c r="B73" s="94">
        <v>43502</v>
      </c>
      <c r="C73" s="95" t="s">
        <v>168</v>
      </c>
      <c r="D73" s="96" t="s">
        <v>83</v>
      </c>
      <c r="E73" s="97" t="s">
        <v>169</v>
      </c>
      <c r="F73" s="98" t="s">
        <v>170</v>
      </c>
      <c r="G73" s="99">
        <f t="shared" si="0"/>
        <v>426890.51</v>
      </c>
      <c r="H73" s="100">
        <v>426890.51</v>
      </c>
      <c r="I73" s="99">
        <f t="shared" si="1"/>
        <v>0</v>
      </c>
      <c r="J73" s="100">
        <v>0</v>
      </c>
      <c r="K73" s="99">
        <f t="shared" si="2"/>
        <v>426890.51</v>
      </c>
      <c r="L73" s="101">
        <f t="shared" si="3"/>
        <v>426890.51</v>
      </c>
      <c r="M73" s="102" t="s">
        <v>36</v>
      </c>
      <c r="N73" s="144">
        <f t="shared" si="4"/>
        <v>0</v>
      </c>
      <c r="O73" s="144">
        <v>0</v>
      </c>
      <c r="P73" s="103" t="s">
        <v>32</v>
      </c>
      <c r="Q73" s="104">
        <v>1</v>
      </c>
      <c r="R73" s="105">
        <v>100000</v>
      </c>
      <c r="S73" s="107" t="s">
        <v>33</v>
      </c>
      <c r="T73" s="107" t="s">
        <v>33</v>
      </c>
      <c r="U73" s="108" t="s">
        <v>34</v>
      </c>
      <c r="V73" s="168"/>
      <c r="W73" s="168"/>
    </row>
    <row r="74" spans="1:23" s="85" customFormat="1" ht="82.5" customHeight="1">
      <c r="A74" s="93" t="s">
        <v>250</v>
      </c>
      <c r="B74" s="94">
        <v>43640</v>
      </c>
      <c r="C74" s="95" t="s">
        <v>688</v>
      </c>
      <c r="D74" s="96" t="s">
        <v>83</v>
      </c>
      <c r="E74" s="97" t="s">
        <v>689</v>
      </c>
      <c r="F74" s="98" t="s">
        <v>690</v>
      </c>
      <c r="G74" s="99">
        <f t="shared" si="0"/>
        <v>500000</v>
      </c>
      <c r="H74" s="100">
        <v>500000</v>
      </c>
      <c r="I74" s="99">
        <f t="shared" si="1"/>
        <v>0</v>
      </c>
      <c r="J74" s="100">
        <v>0</v>
      </c>
      <c r="K74" s="99">
        <f t="shared" si="2"/>
        <v>500000</v>
      </c>
      <c r="L74" s="101">
        <f t="shared" si="3"/>
        <v>500000</v>
      </c>
      <c r="M74" s="102" t="s">
        <v>36</v>
      </c>
      <c r="N74" s="144">
        <f t="shared" si="4"/>
        <v>0</v>
      </c>
      <c r="O74" s="144">
        <v>0</v>
      </c>
      <c r="P74" s="103" t="s">
        <v>32</v>
      </c>
      <c r="Q74" s="104">
        <v>1</v>
      </c>
      <c r="R74" s="105">
        <v>150</v>
      </c>
      <c r="S74" s="107" t="s">
        <v>33</v>
      </c>
      <c r="T74" s="107" t="s">
        <v>33</v>
      </c>
      <c r="U74" s="108" t="s">
        <v>34</v>
      </c>
      <c r="V74" s="168"/>
      <c r="W74" s="168"/>
    </row>
    <row r="75" spans="1:23" s="85" customFormat="1" ht="82.5" customHeight="1">
      <c r="A75" s="93" t="s">
        <v>250</v>
      </c>
      <c r="B75" s="94">
        <v>43644</v>
      </c>
      <c r="C75" s="95" t="s">
        <v>691</v>
      </c>
      <c r="D75" s="96" t="s">
        <v>83</v>
      </c>
      <c r="E75" s="97" t="s">
        <v>692</v>
      </c>
      <c r="F75" s="98" t="s">
        <v>693</v>
      </c>
      <c r="G75" s="99">
        <f t="shared" si="0"/>
        <v>1000000.01</v>
      </c>
      <c r="H75" s="100">
        <v>1000000.01</v>
      </c>
      <c r="I75" s="99">
        <f t="shared" si="1"/>
        <v>0</v>
      </c>
      <c r="J75" s="100">
        <v>0</v>
      </c>
      <c r="K75" s="99">
        <f t="shared" si="2"/>
        <v>1000000.01</v>
      </c>
      <c r="L75" s="101">
        <f t="shared" si="3"/>
        <v>1000000.01</v>
      </c>
      <c r="M75" s="102" t="s">
        <v>36</v>
      </c>
      <c r="N75" s="144">
        <f t="shared" si="4"/>
        <v>0</v>
      </c>
      <c r="O75" s="144">
        <v>0</v>
      </c>
      <c r="P75" s="103" t="s">
        <v>32</v>
      </c>
      <c r="Q75" s="104">
        <v>1</v>
      </c>
      <c r="R75" s="105">
        <v>5000</v>
      </c>
      <c r="S75" s="107" t="s">
        <v>33</v>
      </c>
      <c r="T75" s="107" t="s">
        <v>33</v>
      </c>
      <c r="U75" s="108" t="s">
        <v>34</v>
      </c>
      <c r="V75" s="168"/>
      <c r="W75" s="168"/>
    </row>
    <row r="76" spans="1:23" s="85" customFormat="1" ht="71.25" customHeight="1">
      <c r="A76" s="93" t="s">
        <v>250</v>
      </c>
      <c r="B76" s="94">
        <v>43502</v>
      </c>
      <c r="C76" s="95" t="s">
        <v>171</v>
      </c>
      <c r="D76" s="96" t="s">
        <v>83</v>
      </c>
      <c r="E76" s="97" t="s">
        <v>172</v>
      </c>
      <c r="F76" s="98" t="s">
        <v>173</v>
      </c>
      <c r="G76" s="99">
        <f t="shared" si="0"/>
        <v>1570270.48</v>
      </c>
      <c r="H76" s="100">
        <v>1570270.48</v>
      </c>
      <c r="I76" s="99">
        <f t="shared" si="1"/>
        <v>575719.55000000005</v>
      </c>
      <c r="J76" s="100">
        <f>451104.13+124615.42</f>
        <v>575719.55000000005</v>
      </c>
      <c r="K76" s="99">
        <f t="shared" si="2"/>
        <v>994550.92999999993</v>
      </c>
      <c r="L76" s="101">
        <f t="shared" si="3"/>
        <v>994550.92999999993</v>
      </c>
      <c r="M76" s="102" t="s">
        <v>36</v>
      </c>
      <c r="N76" s="144">
        <f t="shared" si="4"/>
        <v>0.36663718597066158</v>
      </c>
      <c r="O76" s="144">
        <v>0.65</v>
      </c>
      <c r="P76" s="103" t="s">
        <v>32</v>
      </c>
      <c r="Q76" s="104">
        <v>1</v>
      </c>
      <c r="R76" s="105">
        <v>100000</v>
      </c>
      <c r="S76" s="107" t="s">
        <v>155</v>
      </c>
      <c r="T76" s="107" t="s">
        <v>511</v>
      </c>
      <c r="U76" s="108" t="s">
        <v>512</v>
      </c>
      <c r="V76" s="168"/>
      <c r="W76" s="168"/>
    </row>
    <row r="77" spans="1:23" s="85" customFormat="1" ht="69.75" customHeight="1">
      <c r="A77" s="93" t="s">
        <v>250</v>
      </c>
      <c r="B77" s="94">
        <v>43502</v>
      </c>
      <c r="C77" s="95" t="s">
        <v>174</v>
      </c>
      <c r="D77" s="96" t="s">
        <v>41</v>
      </c>
      <c r="E77" s="97" t="s">
        <v>175</v>
      </c>
      <c r="F77" s="98" t="s">
        <v>176</v>
      </c>
      <c r="G77" s="99">
        <f t="shared" si="0"/>
        <v>606380.92000000004</v>
      </c>
      <c r="H77" s="100">
        <v>606380.92000000004</v>
      </c>
      <c r="I77" s="99">
        <f t="shared" si="1"/>
        <v>606380.91</v>
      </c>
      <c r="J77" s="100">
        <f>606380.91</f>
        <v>606380.91</v>
      </c>
      <c r="K77" s="99">
        <f t="shared" si="2"/>
        <v>1.0000000009313226E-2</v>
      </c>
      <c r="L77" s="101">
        <f t="shared" si="3"/>
        <v>1.0000000009313226E-2</v>
      </c>
      <c r="M77" s="102" t="s">
        <v>36</v>
      </c>
      <c r="N77" s="144">
        <f t="shared" si="4"/>
        <v>0.99999998350871588</v>
      </c>
      <c r="O77" s="144">
        <v>0</v>
      </c>
      <c r="P77" s="103" t="s">
        <v>32</v>
      </c>
      <c r="Q77" s="104">
        <v>1</v>
      </c>
      <c r="R77" s="105">
        <v>10000</v>
      </c>
      <c r="S77" s="107" t="s">
        <v>155</v>
      </c>
      <c r="T77" s="107" t="s">
        <v>305</v>
      </c>
      <c r="U77" s="108" t="s">
        <v>355</v>
      </c>
      <c r="V77" s="168"/>
      <c r="W77" s="168"/>
    </row>
    <row r="78" spans="1:23" s="85" customFormat="1" ht="70.5" customHeight="1">
      <c r="A78" s="93" t="s">
        <v>250</v>
      </c>
      <c r="B78" s="94">
        <v>43587</v>
      </c>
      <c r="C78" s="95" t="s">
        <v>678</v>
      </c>
      <c r="D78" s="96" t="s">
        <v>133</v>
      </c>
      <c r="E78" s="97" t="s">
        <v>177</v>
      </c>
      <c r="F78" s="98" t="s">
        <v>178</v>
      </c>
      <c r="G78" s="99">
        <f t="shared" si="0"/>
        <v>520227.98</v>
      </c>
      <c r="H78" s="100">
        <v>520227.98</v>
      </c>
      <c r="I78" s="99">
        <f t="shared" si="1"/>
        <v>520227.98</v>
      </c>
      <c r="J78" s="100">
        <f>467273.18+52954.8</f>
        <v>520227.98</v>
      </c>
      <c r="K78" s="99">
        <f t="shared" si="2"/>
        <v>0</v>
      </c>
      <c r="L78" s="101">
        <f t="shared" si="3"/>
        <v>0</v>
      </c>
      <c r="M78" s="102" t="s">
        <v>36</v>
      </c>
      <c r="N78" s="144">
        <f t="shared" si="4"/>
        <v>1</v>
      </c>
      <c r="O78" s="144">
        <v>0</v>
      </c>
      <c r="P78" s="103" t="s">
        <v>32</v>
      </c>
      <c r="Q78" s="104">
        <v>1</v>
      </c>
      <c r="R78" s="105">
        <v>5000</v>
      </c>
      <c r="S78" s="107" t="s">
        <v>155</v>
      </c>
      <c r="T78" s="107" t="s">
        <v>179</v>
      </c>
      <c r="U78" s="108" t="s">
        <v>180</v>
      </c>
      <c r="V78" s="168"/>
      <c r="W78" s="168"/>
    </row>
    <row r="79" spans="1:23" s="85" customFormat="1" ht="61.5" customHeight="1">
      <c r="A79" s="93" t="s">
        <v>250</v>
      </c>
      <c r="B79" s="110">
        <v>43502</v>
      </c>
      <c r="C79" s="111" t="s">
        <v>181</v>
      </c>
      <c r="D79" s="112" t="s">
        <v>83</v>
      </c>
      <c r="E79" s="113" t="s">
        <v>182</v>
      </c>
      <c r="F79" s="114" t="s">
        <v>183</v>
      </c>
      <c r="G79" s="115">
        <f t="shared" si="0"/>
        <v>770600.76</v>
      </c>
      <c r="H79" s="116">
        <v>770600.76</v>
      </c>
      <c r="I79" s="99">
        <f t="shared" si="1"/>
        <v>534612.15</v>
      </c>
      <c r="J79" s="116">
        <f>229963.92+137461.15+167187.08</f>
        <v>534612.15</v>
      </c>
      <c r="K79" s="99">
        <f t="shared" si="2"/>
        <v>235988.61</v>
      </c>
      <c r="L79" s="101">
        <f t="shared" si="3"/>
        <v>235988.61</v>
      </c>
      <c r="M79" s="117" t="s">
        <v>36</v>
      </c>
      <c r="N79" s="144">
        <f t="shared" si="4"/>
        <v>0.69376021637975027</v>
      </c>
      <c r="O79" s="144">
        <v>0.99</v>
      </c>
      <c r="P79" s="103" t="s">
        <v>32</v>
      </c>
      <c r="Q79" s="104">
        <v>1</v>
      </c>
      <c r="R79" s="118">
        <v>500</v>
      </c>
      <c r="S79" s="107" t="s">
        <v>162</v>
      </c>
      <c r="T79" s="107" t="s">
        <v>184</v>
      </c>
      <c r="U79" s="108" t="s">
        <v>185</v>
      </c>
      <c r="V79" s="168"/>
      <c r="W79" s="168"/>
    </row>
    <row r="80" spans="1:23" s="85" customFormat="1" ht="62.25" customHeight="1">
      <c r="A80" s="93" t="s">
        <v>250</v>
      </c>
      <c r="B80" s="110">
        <v>43502</v>
      </c>
      <c r="C80" s="111" t="s">
        <v>186</v>
      </c>
      <c r="D80" s="112" t="s">
        <v>83</v>
      </c>
      <c r="E80" s="113" t="s">
        <v>187</v>
      </c>
      <c r="F80" s="114" t="s">
        <v>188</v>
      </c>
      <c r="G80" s="115">
        <f t="shared" si="0"/>
        <v>496965.34</v>
      </c>
      <c r="H80" s="116">
        <v>496965.34</v>
      </c>
      <c r="I80" s="99">
        <f t="shared" si="1"/>
        <v>389267.99</v>
      </c>
      <c r="J80" s="116">
        <f>211454.08+177813.91</f>
        <v>389267.99</v>
      </c>
      <c r="K80" s="99">
        <f t="shared" si="2"/>
        <v>107697.35000000003</v>
      </c>
      <c r="L80" s="101">
        <f t="shared" si="3"/>
        <v>107697.35000000003</v>
      </c>
      <c r="M80" s="117" t="s">
        <v>36</v>
      </c>
      <c r="N80" s="144">
        <f t="shared" si="4"/>
        <v>0.78329001777065577</v>
      </c>
      <c r="O80" s="145">
        <v>1</v>
      </c>
      <c r="P80" s="103" t="s">
        <v>32</v>
      </c>
      <c r="Q80" s="119">
        <v>1</v>
      </c>
      <c r="R80" s="118">
        <v>250000</v>
      </c>
      <c r="S80" s="107" t="s">
        <v>162</v>
      </c>
      <c r="T80" s="107" t="s">
        <v>184</v>
      </c>
      <c r="U80" s="108" t="s">
        <v>189</v>
      </c>
      <c r="V80" s="168"/>
      <c r="W80" s="168"/>
    </row>
    <row r="81" spans="1:23" s="85" customFormat="1" ht="46.5" customHeight="1">
      <c r="A81" s="93" t="s">
        <v>250</v>
      </c>
      <c r="B81" s="110">
        <v>43502</v>
      </c>
      <c r="C81" s="111" t="s">
        <v>190</v>
      </c>
      <c r="D81" s="112" t="s">
        <v>83</v>
      </c>
      <c r="E81" s="113" t="s">
        <v>191</v>
      </c>
      <c r="F81" s="114" t="s">
        <v>192</v>
      </c>
      <c r="G81" s="115">
        <f t="shared" si="0"/>
        <v>310019.21000000002</v>
      </c>
      <c r="H81" s="116">
        <v>310019.21000000002</v>
      </c>
      <c r="I81" s="99">
        <f t="shared" si="1"/>
        <v>0</v>
      </c>
      <c r="J81" s="116">
        <v>0</v>
      </c>
      <c r="K81" s="99">
        <f t="shared" si="2"/>
        <v>310019.21000000002</v>
      </c>
      <c r="L81" s="101">
        <f t="shared" si="3"/>
        <v>310019.21000000002</v>
      </c>
      <c r="M81" s="117" t="s">
        <v>36</v>
      </c>
      <c r="N81" s="144">
        <f t="shared" si="4"/>
        <v>0</v>
      </c>
      <c r="O81" s="145">
        <v>0.82</v>
      </c>
      <c r="P81" s="103" t="s">
        <v>32</v>
      </c>
      <c r="Q81" s="119">
        <v>1</v>
      </c>
      <c r="R81" s="118">
        <v>100000</v>
      </c>
      <c r="S81" s="107" t="s">
        <v>33</v>
      </c>
      <c r="T81" s="107" t="s">
        <v>33</v>
      </c>
      <c r="U81" s="108" t="s">
        <v>34</v>
      </c>
      <c r="V81" s="168"/>
      <c r="W81" s="168"/>
    </row>
    <row r="82" spans="1:23" s="85" customFormat="1" ht="59.25" customHeight="1">
      <c r="A82" s="93" t="s">
        <v>250</v>
      </c>
      <c r="B82" s="110">
        <v>43502</v>
      </c>
      <c r="C82" s="111" t="s">
        <v>193</v>
      </c>
      <c r="D82" s="112" t="s">
        <v>83</v>
      </c>
      <c r="E82" s="113" t="s">
        <v>194</v>
      </c>
      <c r="F82" s="114" t="s">
        <v>195</v>
      </c>
      <c r="G82" s="115">
        <f t="shared" si="0"/>
        <v>2000000</v>
      </c>
      <c r="H82" s="116">
        <v>2000000</v>
      </c>
      <c r="I82" s="99">
        <f t="shared" si="1"/>
        <v>1979384.29</v>
      </c>
      <c r="J82" s="116">
        <f>589828.62+655473.67+734082</f>
        <v>1979384.29</v>
      </c>
      <c r="K82" s="99">
        <f t="shared" si="2"/>
        <v>20615.709999999963</v>
      </c>
      <c r="L82" s="101">
        <f t="shared" si="3"/>
        <v>20615.709999999963</v>
      </c>
      <c r="M82" s="117" t="s">
        <v>36</v>
      </c>
      <c r="N82" s="144">
        <f t="shared" si="4"/>
        <v>0.98969214500000002</v>
      </c>
      <c r="O82" s="145">
        <v>1</v>
      </c>
      <c r="P82" s="103" t="s">
        <v>32</v>
      </c>
      <c r="Q82" s="119">
        <v>1</v>
      </c>
      <c r="R82" s="118">
        <v>2000</v>
      </c>
      <c r="S82" s="107" t="s">
        <v>155</v>
      </c>
      <c r="T82" s="107" t="s">
        <v>196</v>
      </c>
      <c r="U82" s="108" t="s">
        <v>197</v>
      </c>
      <c r="V82" s="168"/>
      <c r="W82" s="168"/>
    </row>
    <row r="83" spans="1:23" s="85" customFormat="1" ht="57" customHeight="1">
      <c r="A83" s="93" t="s">
        <v>250</v>
      </c>
      <c r="B83" s="110">
        <v>43644</v>
      </c>
      <c r="C83" s="111" t="s">
        <v>694</v>
      </c>
      <c r="D83" s="112" t="s">
        <v>41</v>
      </c>
      <c r="E83" s="113" t="s">
        <v>198</v>
      </c>
      <c r="F83" s="114" t="s">
        <v>199</v>
      </c>
      <c r="G83" s="115">
        <f t="shared" si="0"/>
        <v>664980.79</v>
      </c>
      <c r="H83" s="116">
        <v>664980.79</v>
      </c>
      <c r="I83" s="99">
        <f t="shared" si="1"/>
        <v>637891.23</v>
      </c>
      <c r="J83" s="116">
        <f>348588.77+289302.46</f>
        <v>637891.23</v>
      </c>
      <c r="K83" s="99">
        <f t="shared" si="2"/>
        <v>27089.560000000056</v>
      </c>
      <c r="L83" s="101">
        <f t="shared" si="3"/>
        <v>27089.560000000056</v>
      </c>
      <c r="M83" s="117" t="s">
        <v>36</v>
      </c>
      <c r="N83" s="144">
        <f t="shared" si="4"/>
        <v>0.95926264275995088</v>
      </c>
      <c r="O83" s="145">
        <v>1</v>
      </c>
      <c r="P83" s="103" t="s">
        <v>200</v>
      </c>
      <c r="Q83" s="119">
        <v>4</v>
      </c>
      <c r="R83" s="118">
        <v>1000</v>
      </c>
      <c r="S83" s="107" t="s">
        <v>162</v>
      </c>
      <c r="T83" s="107" t="s">
        <v>196</v>
      </c>
      <c r="U83" s="108" t="s">
        <v>356</v>
      </c>
      <c r="V83" s="168"/>
      <c r="W83" s="168"/>
    </row>
    <row r="84" spans="1:23" s="85" customFormat="1" ht="63.75" customHeight="1">
      <c r="A84" s="93" t="s">
        <v>250</v>
      </c>
      <c r="B84" s="110">
        <v>43587</v>
      </c>
      <c r="C84" s="111" t="s">
        <v>679</v>
      </c>
      <c r="D84" s="112" t="s">
        <v>41</v>
      </c>
      <c r="E84" s="113" t="s">
        <v>201</v>
      </c>
      <c r="F84" s="114" t="s">
        <v>202</v>
      </c>
      <c r="G84" s="115">
        <f t="shared" si="0"/>
        <v>428277.63</v>
      </c>
      <c r="H84" s="116">
        <v>428277.63</v>
      </c>
      <c r="I84" s="99">
        <f t="shared" si="1"/>
        <v>428277.63</v>
      </c>
      <c r="J84" s="116">
        <f>412075.23+16202.4</f>
        <v>428277.63</v>
      </c>
      <c r="K84" s="99">
        <f t="shared" si="2"/>
        <v>0</v>
      </c>
      <c r="L84" s="101">
        <f t="shared" si="3"/>
        <v>0</v>
      </c>
      <c r="M84" s="117" t="s">
        <v>36</v>
      </c>
      <c r="N84" s="144">
        <f t="shared" si="4"/>
        <v>1</v>
      </c>
      <c r="O84" s="145">
        <v>1</v>
      </c>
      <c r="P84" s="103" t="s">
        <v>200</v>
      </c>
      <c r="Q84" s="119">
        <v>5</v>
      </c>
      <c r="R84" s="118">
        <v>1250</v>
      </c>
      <c r="S84" s="107" t="s">
        <v>162</v>
      </c>
      <c r="T84" s="107" t="s">
        <v>203</v>
      </c>
      <c r="U84" s="108" t="s">
        <v>204</v>
      </c>
      <c r="V84" s="168"/>
      <c r="W84" s="168"/>
    </row>
    <row r="85" spans="1:23" s="85" customFormat="1" ht="69" customHeight="1">
      <c r="A85" s="93" t="s">
        <v>250</v>
      </c>
      <c r="B85" s="110">
        <v>43502</v>
      </c>
      <c r="C85" s="111" t="s">
        <v>205</v>
      </c>
      <c r="D85" s="112" t="s">
        <v>41</v>
      </c>
      <c r="E85" s="113" t="s">
        <v>206</v>
      </c>
      <c r="F85" s="114" t="s">
        <v>207</v>
      </c>
      <c r="G85" s="115">
        <f t="shared" si="0"/>
        <v>876996.22</v>
      </c>
      <c r="H85" s="116">
        <v>876996.22</v>
      </c>
      <c r="I85" s="99">
        <f t="shared" si="1"/>
        <v>872979.97</v>
      </c>
      <c r="J85" s="116">
        <f>354661.68+492477.54+25840.75</f>
        <v>872979.97</v>
      </c>
      <c r="K85" s="99">
        <f t="shared" si="2"/>
        <v>4016.25</v>
      </c>
      <c r="L85" s="101">
        <f t="shared" si="3"/>
        <v>4016.25</v>
      </c>
      <c r="M85" s="117" t="s">
        <v>36</v>
      </c>
      <c r="N85" s="144">
        <f t="shared" si="4"/>
        <v>0.99542044776430161</v>
      </c>
      <c r="O85" s="145">
        <v>1</v>
      </c>
      <c r="P85" s="103" t="s">
        <v>200</v>
      </c>
      <c r="Q85" s="119">
        <v>3</v>
      </c>
      <c r="R85" s="118">
        <v>750</v>
      </c>
      <c r="S85" s="107" t="s">
        <v>162</v>
      </c>
      <c r="T85" s="107" t="s">
        <v>208</v>
      </c>
      <c r="U85" s="108" t="s">
        <v>209</v>
      </c>
      <c r="V85" s="168"/>
      <c r="W85" s="168"/>
    </row>
    <row r="86" spans="1:23" s="85" customFormat="1" ht="84" customHeight="1">
      <c r="A86" s="93" t="s">
        <v>250</v>
      </c>
      <c r="B86" s="110">
        <v>43502</v>
      </c>
      <c r="C86" s="111" t="s">
        <v>210</v>
      </c>
      <c r="D86" s="112" t="s">
        <v>133</v>
      </c>
      <c r="E86" s="113" t="s">
        <v>211</v>
      </c>
      <c r="F86" s="114" t="s">
        <v>212</v>
      </c>
      <c r="G86" s="115">
        <f t="shared" si="0"/>
        <v>1120000</v>
      </c>
      <c r="H86" s="116">
        <v>1120000</v>
      </c>
      <c r="I86" s="115">
        <f t="shared" si="1"/>
        <v>1117579.5799999998</v>
      </c>
      <c r="J86" s="116">
        <f>1116420.42+1159.16</f>
        <v>1117579.5799999998</v>
      </c>
      <c r="K86" s="99">
        <f t="shared" si="2"/>
        <v>2420.4200000001583</v>
      </c>
      <c r="L86" s="101">
        <f t="shared" si="3"/>
        <v>2420.4200000001583</v>
      </c>
      <c r="M86" s="117" t="s">
        <v>36</v>
      </c>
      <c r="N86" s="145">
        <f t="shared" si="4"/>
        <v>0.99783891071428554</v>
      </c>
      <c r="O86" s="145">
        <v>1</v>
      </c>
      <c r="P86" s="120" t="s">
        <v>32</v>
      </c>
      <c r="Q86" s="119">
        <v>1</v>
      </c>
      <c r="R86" s="118">
        <v>2500</v>
      </c>
      <c r="S86" s="107" t="s">
        <v>162</v>
      </c>
      <c r="T86" s="107" t="s">
        <v>213</v>
      </c>
      <c r="U86" s="108" t="s">
        <v>214</v>
      </c>
      <c r="V86" s="168"/>
      <c r="W86" s="168"/>
    </row>
    <row r="87" spans="1:23" s="85" customFormat="1" ht="46.5" customHeight="1">
      <c r="A87" s="93" t="s">
        <v>250</v>
      </c>
      <c r="B87" s="110">
        <v>43587</v>
      </c>
      <c r="C87" s="111" t="s">
        <v>680</v>
      </c>
      <c r="D87" s="112" t="s">
        <v>41</v>
      </c>
      <c r="E87" s="113" t="s">
        <v>215</v>
      </c>
      <c r="F87" s="114" t="s">
        <v>216</v>
      </c>
      <c r="G87" s="115">
        <f t="shared" si="0"/>
        <v>147337.78</v>
      </c>
      <c r="H87" s="116">
        <v>147337.78</v>
      </c>
      <c r="I87" s="115">
        <f t="shared" si="1"/>
        <v>147337.78</v>
      </c>
      <c r="J87" s="116">
        <f>134870.51+12467.27</f>
        <v>147337.78</v>
      </c>
      <c r="K87" s="99">
        <f t="shared" si="2"/>
        <v>0</v>
      </c>
      <c r="L87" s="101">
        <f t="shared" si="3"/>
        <v>0</v>
      </c>
      <c r="M87" s="117" t="s">
        <v>36</v>
      </c>
      <c r="N87" s="145">
        <f t="shared" si="4"/>
        <v>1</v>
      </c>
      <c r="O87" s="145">
        <v>1</v>
      </c>
      <c r="P87" s="120" t="s">
        <v>32</v>
      </c>
      <c r="Q87" s="119">
        <v>1</v>
      </c>
      <c r="R87" s="118">
        <v>100</v>
      </c>
      <c r="S87" s="107" t="s">
        <v>162</v>
      </c>
      <c r="T87" s="107" t="s">
        <v>220</v>
      </c>
      <c r="U87" s="108" t="s">
        <v>357</v>
      </c>
      <c r="V87" s="168"/>
      <c r="W87" s="168"/>
    </row>
    <row r="88" spans="1:23" s="85" customFormat="1" ht="64.5" customHeight="1">
      <c r="A88" s="93" t="s">
        <v>250</v>
      </c>
      <c r="B88" s="110">
        <v>43502</v>
      </c>
      <c r="C88" s="111" t="s">
        <v>217</v>
      </c>
      <c r="D88" s="112" t="s">
        <v>41</v>
      </c>
      <c r="E88" s="113" t="s">
        <v>218</v>
      </c>
      <c r="F88" s="114" t="s">
        <v>219</v>
      </c>
      <c r="G88" s="115">
        <f t="shared" si="0"/>
        <v>359516.75</v>
      </c>
      <c r="H88" s="116">
        <v>359516.75</v>
      </c>
      <c r="I88" s="115">
        <f t="shared" si="1"/>
        <v>348277.4</v>
      </c>
      <c r="J88" s="116">
        <f>162058.39+172337.57+13881.44</f>
        <v>348277.4</v>
      </c>
      <c r="K88" s="99">
        <f t="shared" si="2"/>
        <v>11239.349999999977</v>
      </c>
      <c r="L88" s="101">
        <f t="shared" si="3"/>
        <v>11239.349999999977</v>
      </c>
      <c r="M88" s="117" t="s">
        <v>36</v>
      </c>
      <c r="N88" s="145">
        <f t="shared" si="4"/>
        <v>0.96873761792739843</v>
      </c>
      <c r="O88" s="145">
        <v>1</v>
      </c>
      <c r="P88" s="120" t="s">
        <v>32</v>
      </c>
      <c r="Q88" s="119">
        <v>1</v>
      </c>
      <c r="R88" s="118">
        <v>120</v>
      </c>
      <c r="S88" s="107" t="s">
        <v>162</v>
      </c>
      <c r="T88" s="107" t="s">
        <v>220</v>
      </c>
      <c r="U88" s="108" t="s">
        <v>221</v>
      </c>
      <c r="V88" s="168"/>
      <c r="W88" s="168"/>
    </row>
    <row r="89" spans="1:23" s="85" customFormat="1" ht="69.75" customHeight="1">
      <c r="A89" s="93" t="s">
        <v>250</v>
      </c>
      <c r="B89" s="110">
        <v>43502</v>
      </c>
      <c r="C89" s="111" t="s">
        <v>222</v>
      </c>
      <c r="D89" s="112" t="s">
        <v>133</v>
      </c>
      <c r="E89" s="113" t="s">
        <v>223</v>
      </c>
      <c r="F89" s="114" t="s">
        <v>224</v>
      </c>
      <c r="G89" s="115">
        <f t="shared" si="0"/>
        <v>536000.01</v>
      </c>
      <c r="H89" s="116">
        <v>536000.01</v>
      </c>
      <c r="I89" s="115">
        <f t="shared" si="1"/>
        <v>535991.49</v>
      </c>
      <c r="J89" s="116">
        <f>532387.92+3603.57</f>
        <v>535991.49</v>
      </c>
      <c r="K89" s="99">
        <f t="shared" si="2"/>
        <v>8.5200000000186265</v>
      </c>
      <c r="L89" s="101">
        <f t="shared" si="3"/>
        <v>8.5200000000186265</v>
      </c>
      <c r="M89" s="117" t="s">
        <v>36</v>
      </c>
      <c r="N89" s="145">
        <f t="shared" si="4"/>
        <v>0.99998410447790842</v>
      </c>
      <c r="O89" s="145">
        <v>1</v>
      </c>
      <c r="P89" s="120" t="s">
        <v>32</v>
      </c>
      <c r="Q89" s="119">
        <v>1</v>
      </c>
      <c r="R89" s="118">
        <v>1393</v>
      </c>
      <c r="S89" s="107" t="s">
        <v>162</v>
      </c>
      <c r="T89" s="107" t="s">
        <v>225</v>
      </c>
      <c r="U89" s="108" t="s">
        <v>226</v>
      </c>
      <c r="V89" s="168"/>
      <c r="W89" s="168"/>
    </row>
    <row r="90" spans="1:23" s="85" customFormat="1" ht="46.5" customHeight="1">
      <c r="A90" s="93" t="s">
        <v>250</v>
      </c>
      <c r="B90" s="110">
        <v>43502</v>
      </c>
      <c r="C90" s="111" t="s">
        <v>227</v>
      </c>
      <c r="D90" s="112" t="s">
        <v>41</v>
      </c>
      <c r="E90" s="113" t="s">
        <v>228</v>
      </c>
      <c r="F90" s="114" t="s">
        <v>229</v>
      </c>
      <c r="G90" s="115">
        <f t="shared" si="0"/>
        <v>566825.07999999996</v>
      </c>
      <c r="H90" s="116">
        <v>566825.07999999996</v>
      </c>
      <c r="I90" s="115">
        <f t="shared" si="1"/>
        <v>0</v>
      </c>
      <c r="J90" s="116">
        <v>0</v>
      </c>
      <c r="K90" s="99">
        <f t="shared" si="2"/>
        <v>566825.07999999996</v>
      </c>
      <c r="L90" s="101">
        <f t="shared" si="3"/>
        <v>566825.07999999996</v>
      </c>
      <c r="M90" s="117" t="s">
        <v>36</v>
      </c>
      <c r="N90" s="145">
        <f t="shared" si="4"/>
        <v>0</v>
      </c>
      <c r="O90" s="145">
        <v>0.99</v>
      </c>
      <c r="P90" s="120" t="s">
        <v>32</v>
      </c>
      <c r="Q90" s="119">
        <v>1</v>
      </c>
      <c r="R90" s="118">
        <v>150</v>
      </c>
      <c r="S90" s="107" t="s">
        <v>33</v>
      </c>
      <c r="T90" s="107" t="s">
        <v>33</v>
      </c>
      <c r="U90" s="108" t="s">
        <v>34</v>
      </c>
      <c r="V90" s="168"/>
      <c r="W90" s="168"/>
    </row>
    <row r="91" spans="1:23" s="85" customFormat="1" ht="122.25" customHeight="1">
      <c r="A91" s="93" t="s">
        <v>250</v>
      </c>
      <c r="B91" s="110">
        <v>43577</v>
      </c>
      <c r="C91" s="111" t="s">
        <v>513</v>
      </c>
      <c r="D91" s="112" t="s">
        <v>41</v>
      </c>
      <c r="E91" s="113" t="s">
        <v>230</v>
      </c>
      <c r="F91" s="114" t="s">
        <v>231</v>
      </c>
      <c r="G91" s="115">
        <f t="shared" si="0"/>
        <v>176367.49</v>
      </c>
      <c r="H91" s="116">
        <v>176367.49</v>
      </c>
      <c r="I91" s="115">
        <f t="shared" si="1"/>
        <v>176367.49000000002</v>
      </c>
      <c r="J91" s="116">
        <f>158583.89+17783.6</f>
        <v>176367.49000000002</v>
      </c>
      <c r="K91" s="99">
        <f t="shared" si="2"/>
        <v>0</v>
      </c>
      <c r="L91" s="101">
        <f t="shared" si="3"/>
        <v>0</v>
      </c>
      <c r="M91" s="117" t="s">
        <v>36</v>
      </c>
      <c r="N91" s="145">
        <f t="shared" si="4"/>
        <v>1.0000000000000002</v>
      </c>
      <c r="O91" s="145">
        <v>1</v>
      </c>
      <c r="P91" s="120" t="s">
        <v>32</v>
      </c>
      <c r="Q91" s="119">
        <v>1</v>
      </c>
      <c r="R91" s="118">
        <v>150</v>
      </c>
      <c r="S91" s="107" t="s">
        <v>162</v>
      </c>
      <c r="T91" s="107" t="s">
        <v>358</v>
      </c>
      <c r="U91" s="108" t="s">
        <v>359</v>
      </c>
      <c r="V91" s="168"/>
      <c r="W91" s="168"/>
    </row>
    <row r="92" spans="1:23" s="85" customFormat="1" ht="76.5" customHeight="1">
      <c r="A92" s="93" t="s">
        <v>250</v>
      </c>
      <c r="B92" s="110">
        <v>43502</v>
      </c>
      <c r="C92" s="111" t="s">
        <v>232</v>
      </c>
      <c r="D92" s="112" t="s">
        <v>41</v>
      </c>
      <c r="E92" s="113" t="s">
        <v>233</v>
      </c>
      <c r="F92" s="114" t="s">
        <v>234</v>
      </c>
      <c r="G92" s="115">
        <f t="shared" si="0"/>
        <v>1250000</v>
      </c>
      <c r="H92" s="116">
        <v>1250000</v>
      </c>
      <c r="I92" s="115">
        <f t="shared" si="1"/>
        <v>1088069.9400000002</v>
      </c>
      <c r="J92" s="116">
        <f>428797.57+329839.03+329433.34</f>
        <v>1088069.9400000002</v>
      </c>
      <c r="K92" s="115">
        <f t="shared" si="2"/>
        <v>161930.05999999982</v>
      </c>
      <c r="L92" s="121">
        <f t="shared" si="3"/>
        <v>161930.05999999982</v>
      </c>
      <c r="M92" s="117" t="s">
        <v>36</v>
      </c>
      <c r="N92" s="145">
        <f t="shared" si="4"/>
        <v>0.87045595200000014</v>
      </c>
      <c r="O92" s="145">
        <v>1</v>
      </c>
      <c r="P92" s="120" t="s">
        <v>32</v>
      </c>
      <c r="Q92" s="119">
        <v>1</v>
      </c>
      <c r="R92" s="118">
        <v>2000</v>
      </c>
      <c r="S92" s="107" t="s">
        <v>162</v>
      </c>
      <c r="T92" s="107" t="s">
        <v>225</v>
      </c>
      <c r="U92" s="108" t="s">
        <v>235</v>
      </c>
      <c r="V92" s="168"/>
      <c r="W92" s="168"/>
    </row>
    <row r="93" spans="1:23" s="85" customFormat="1" ht="69" customHeight="1">
      <c r="A93" s="93" t="s">
        <v>250</v>
      </c>
      <c r="B93" s="110">
        <v>43502</v>
      </c>
      <c r="C93" s="111" t="s">
        <v>236</v>
      </c>
      <c r="D93" s="112" t="s">
        <v>41</v>
      </c>
      <c r="E93" s="113" t="s">
        <v>237</v>
      </c>
      <c r="F93" s="114" t="s">
        <v>238</v>
      </c>
      <c r="G93" s="115">
        <f t="shared" si="0"/>
        <v>1250000</v>
      </c>
      <c r="H93" s="116">
        <v>1250000</v>
      </c>
      <c r="I93" s="115">
        <f t="shared" si="1"/>
        <v>1216806.3799999999</v>
      </c>
      <c r="J93" s="116">
        <f>374310.91+273472.08+569023.39</f>
        <v>1216806.3799999999</v>
      </c>
      <c r="K93" s="115">
        <f t="shared" si="2"/>
        <v>33193.620000000112</v>
      </c>
      <c r="L93" s="121">
        <f t="shared" si="3"/>
        <v>33193.620000000112</v>
      </c>
      <c r="M93" s="117" t="s">
        <v>36</v>
      </c>
      <c r="N93" s="145">
        <f t="shared" si="4"/>
        <v>0.97344510399999995</v>
      </c>
      <c r="O93" s="145">
        <v>1</v>
      </c>
      <c r="P93" s="120" t="s">
        <v>32</v>
      </c>
      <c r="Q93" s="119">
        <v>1</v>
      </c>
      <c r="R93" s="118">
        <v>2000</v>
      </c>
      <c r="S93" s="107" t="s">
        <v>162</v>
      </c>
      <c r="T93" s="107" t="s">
        <v>239</v>
      </c>
      <c r="U93" s="108" t="s">
        <v>240</v>
      </c>
      <c r="V93" s="168"/>
      <c r="W93" s="168"/>
    </row>
    <row r="94" spans="1:23" s="85" customFormat="1" ht="85.5" customHeight="1">
      <c r="A94" s="93" t="s">
        <v>250</v>
      </c>
      <c r="B94" s="110">
        <v>43502</v>
      </c>
      <c r="C94" s="111" t="s">
        <v>241</v>
      </c>
      <c r="D94" s="112" t="s">
        <v>41</v>
      </c>
      <c r="E94" s="113" t="s">
        <v>242</v>
      </c>
      <c r="F94" s="114" t="s">
        <v>243</v>
      </c>
      <c r="G94" s="115">
        <f t="shared" si="0"/>
        <v>1250000</v>
      </c>
      <c r="H94" s="116">
        <v>1250000</v>
      </c>
      <c r="I94" s="115">
        <f t="shared" si="1"/>
        <v>1246323.8999999999</v>
      </c>
      <c r="J94" s="116">
        <f>1246323.9</f>
        <v>1246323.8999999999</v>
      </c>
      <c r="K94" s="115">
        <f t="shared" si="2"/>
        <v>3676.1000000000931</v>
      </c>
      <c r="L94" s="121">
        <f t="shared" si="3"/>
        <v>3676.1000000000931</v>
      </c>
      <c r="M94" s="117" t="s">
        <v>36</v>
      </c>
      <c r="N94" s="120">
        <f t="shared" si="4"/>
        <v>0.99705911999999997</v>
      </c>
      <c r="O94" s="145">
        <v>1</v>
      </c>
      <c r="P94" s="120" t="s">
        <v>32</v>
      </c>
      <c r="Q94" s="119">
        <v>1</v>
      </c>
      <c r="R94" s="118">
        <v>2000</v>
      </c>
      <c r="S94" s="107" t="s">
        <v>162</v>
      </c>
      <c r="T94" s="107" t="s">
        <v>213</v>
      </c>
      <c r="U94" s="108" t="s">
        <v>244</v>
      </c>
      <c r="V94" s="168"/>
      <c r="W94" s="168"/>
    </row>
    <row r="95" spans="1:23" s="143" customFormat="1" ht="46.5" customHeight="1" thickBot="1">
      <c r="A95" s="352" t="s">
        <v>250</v>
      </c>
      <c r="B95" s="353">
        <v>43502</v>
      </c>
      <c r="C95" s="354" t="s">
        <v>245</v>
      </c>
      <c r="D95" s="355" t="s">
        <v>41</v>
      </c>
      <c r="E95" s="356" t="s">
        <v>246</v>
      </c>
      <c r="F95" s="357" t="s">
        <v>247</v>
      </c>
      <c r="G95" s="358">
        <f t="shared" si="0"/>
        <v>1250000</v>
      </c>
      <c r="H95" s="359">
        <v>1250000</v>
      </c>
      <c r="I95" s="358">
        <f t="shared" si="1"/>
        <v>1240909.33</v>
      </c>
      <c r="J95" s="359">
        <f>666220.51+545057.29+29631.53</f>
        <v>1240909.33</v>
      </c>
      <c r="K95" s="358">
        <f t="shared" si="2"/>
        <v>9090.6699999999255</v>
      </c>
      <c r="L95" s="360">
        <f t="shared" si="3"/>
        <v>9090.6699999999255</v>
      </c>
      <c r="M95" s="361" t="s">
        <v>36</v>
      </c>
      <c r="N95" s="362">
        <f t="shared" si="4"/>
        <v>0.99272746400000011</v>
      </c>
      <c r="O95" s="362">
        <v>1</v>
      </c>
      <c r="P95" s="363" t="s">
        <v>32</v>
      </c>
      <c r="Q95" s="364">
        <v>1</v>
      </c>
      <c r="R95" s="365">
        <v>2000</v>
      </c>
      <c r="S95" s="366" t="s">
        <v>162</v>
      </c>
      <c r="T95" s="366" t="s">
        <v>248</v>
      </c>
      <c r="U95" s="367" t="s">
        <v>249</v>
      </c>
      <c r="V95" s="169"/>
      <c r="W95" s="169"/>
    </row>
    <row r="96" spans="1:23" s="85" customFormat="1" ht="15.75" thickBot="1">
      <c r="A96" s="122"/>
      <c r="B96" s="122"/>
      <c r="C96" s="122"/>
      <c r="D96" s="122"/>
      <c r="E96" s="123"/>
      <c r="F96" s="122"/>
      <c r="G96" s="124"/>
      <c r="H96" s="124"/>
      <c r="I96" s="124"/>
      <c r="J96" s="124"/>
      <c r="K96" s="124"/>
      <c r="L96" s="125"/>
      <c r="M96" s="126"/>
      <c r="N96" s="122"/>
      <c r="O96" s="122"/>
      <c r="P96" s="127"/>
      <c r="Q96" s="127"/>
      <c r="R96" s="127"/>
      <c r="S96" s="128"/>
      <c r="T96" s="92"/>
      <c r="U96" s="92"/>
      <c r="V96" s="92"/>
    </row>
    <row r="97" spans="1:22" s="85" customFormat="1" ht="16.5" thickTop="1" thickBot="1">
      <c r="A97" s="122"/>
      <c r="B97" s="122"/>
      <c r="C97" s="122"/>
      <c r="D97" s="122"/>
      <c r="E97" s="123"/>
      <c r="F97" s="129" t="s">
        <v>37</v>
      </c>
      <c r="G97" s="130">
        <f t="shared" ref="G97:L97" si="5">SUBTOTAL(9,G11:G95)</f>
        <v>156463575.79999995</v>
      </c>
      <c r="H97" s="130">
        <f t="shared" si="5"/>
        <v>156463575.79999995</v>
      </c>
      <c r="I97" s="130">
        <f t="shared" si="5"/>
        <v>99090206.329999998</v>
      </c>
      <c r="J97" s="130">
        <f t="shared" si="5"/>
        <v>99090206.329999998</v>
      </c>
      <c r="K97" s="131">
        <f t="shared" si="5"/>
        <v>57373369.469999999</v>
      </c>
      <c r="L97" s="132">
        <f t="shared" si="5"/>
        <v>57373369.469999999</v>
      </c>
      <c r="M97" s="133"/>
      <c r="N97" s="92"/>
      <c r="O97" s="92"/>
      <c r="P97" s="134"/>
      <c r="Q97" s="135"/>
      <c r="R97" s="135"/>
      <c r="S97" s="128"/>
      <c r="T97" s="92"/>
      <c r="U97" s="92"/>
      <c r="V97" s="92"/>
    </row>
    <row r="98" spans="1:22" s="85" customFormat="1" ht="15.75" thickTop="1">
      <c r="A98" s="92"/>
      <c r="B98" s="92"/>
      <c r="C98" s="139"/>
      <c r="D98" s="92"/>
      <c r="E98" s="136"/>
      <c r="F98" s="140"/>
      <c r="G98" s="137"/>
      <c r="H98" s="137"/>
      <c r="I98" s="137"/>
      <c r="J98" s="137"/>
      <c r="K98" s="137"/>
      <c r="L98" s="138"/>
      <c r="M98" s="128"/>
      <c r="N98" s="92"/>
      <c r="O98" s="92"/>
      <c r="P98" s="134"/>
      <c r="Q98" s="135"/>
      <c r="R98" s="135"/>
      <c r="S98" s="128"/>
      <c r="T98" s="92"/>
      <c r="U98" s="92"/>
      <c r="V98" s="92"/>
    </row>
    <row r="99" spans="1:22" s="85" customFormat="1">
      <c r="A99" s="141" t="s">
        <v>38</v>
      </c>
      <c r="F99" s="142"/>
    </row>
    <row r="102" spans="1:22">
      <c r="I102" s="13"/>
    </row>
  </sheetData>
  <mergeCells count="11">
    <mergeCell ref="A8:B8"/>
    <mergeCell ref="G9:H9"/>
    <mergeCell ref="I9:J9"/>
    <mergeCell ref="K9:L9"/>
    <mergeCell ref="P10:Q10"/>
    <mergeCell ref="A7:B7"/>
    <mergeCell ref="A2:B3"/>
    <mergeCell ref="A5:B5"/>
    <mergeCell ref="A6:B6"/>
    <mergeCell ref="C2:U2"/>
    <mergeCell ref="C3:U3"/>
  </mergeCells>
  <printOptions horizontalCentered="1"/>
  <pageMargins left="0" right="0" top="0.39370078740157483" bottom="0.35433070866141736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workbookViewId="0">
      <selection activeCell="Y19" sqref="Y19"/>
    </sheetView>
  </sheetViews>
  <sheetFormatPr baseColWidth="10" defaultRowHeight="15"/>
  <cols>
    <col min="1" max="1" width="9.5703125" customWidth="1"/>
    <col min="2" max="2" width="13" customWidth="1"/>
    <col min="3" max="3" width="19.5703125" customWidth="1"/>
    <col min="4" max="4" width="9.140625" hidden="1" customWidth="1"/>
    <col min="5" max="5" width="10.140625" customWidth="1"/>
    <col min="6" max="6" width="29.28515625" bestFit="1" customWidth="1"/>
    <col min="7" max="7" width="12.42578125" bestFit="1" customWidth="1"/>
    <col min="8" max="8" width="10.7109375" hidden="1" customWidth="1"/>
    <col min="9" max="9" width="12.42578125" hidden="1" customWidth="1"/>
    <col min="10" max="10" width="14.7109375" hidden="1" customWidth="1"/>
    <col min="11" max="12" width="12.42578125" hidden="1" customWidth="1"/>
    <col min="13" max="13" width="8.42578125" hidden="1" customWidth="1"/>
    <col min="14" max="14" width="11.28515625" hidden="1" customWidth="1"/>
    <col min="15" max="15" width="6.140625" hidden="1" customWidth="1"/>
    <col min="16" max="16" width="14" customWidth="1"/>
    <col min="17" max="17" width="15.140625" bestFit="1" customWidth="1"/>
    <col min="18" max="18" width="8.42578125" hidden="1" customWidth="1"/>
    <col min="19" max="19" width="8.7109375" hidden="1" customWidth="1"/>
    <col min="20" max="20" width="10" hidden="1" customWidth="1"/>
    <col min="21" max="21" width="11.42578125" hidden="1" customWidth="1"/>
    <col min="22" max="22" width="0" hidden="1" customWidth="1"/>
    <col min="23" max="23" width="12.140625" customWidth="1"/>
    <col min="24" max="24" width="10" bestFit="1" customWidth="1"/>
    <col min="25" max="25" width="12.42578125" bestFit="1" customWidth="1"/>
    <col min="26" max="27" width="11.5703125" bestFit="1" customWidth="1"/>
    <col min="247" max="247" width="28.85546875" customWidth="1"/>
    <col min="249" max="250" width="0" hidden="1" customWidth="1"/>
    <col min="252" max="253" width="0" hidden="1" customWidth="1"/>
    <col min="255" max="256" width="0" hidden="1" customWidth="1"/>
    <col min="503" max="503" width="28.85546875" customWidth="1"/>
    <col min="505" max="506" width="0" hidden="1" customWidth="1"/>
    <col min="508" max="509" width="0" hidden="1" customWidth="1"/>
    <col min="511" max="512" width="0" hidden="1" customWidth="1"/>
    <col min="759" max="759" width="28.85546875" customWidth="1"/>
    <col min="761" max="762" width="0" hidden="1" customWidth="1"/>
    <col min="764" max="765" width="0" hidden="1" customWidth="1"/>
    <col min="767" max="768" width="0" hidden="1" customWidth="1"/>
    <col min="1015" max="1015" width="28.85546875" customWidth="1"/>
    <col min="1017" max="1018" width="0" hidden="1" customWidth="1"/>
    <col min="1020" max="1021" width="0" hidden="1" customWidth="1"/>
    <col min="1023" max="1024" width="0" hidden="1" customWidth="1"/>
    <col min="1271" max="1271" width="28.85546875" customWidth="1"/>
    <col min="1273" max="1274" width="0" hidden="1" customWidth="1"/>
    <col min="1276" max="1277" width="0" hidden="1" customWidth="1"/>
    <col min="1279" max="1280" width="0" hidden="1" customWidth="1"/>
    <col min="1527" max="1527" width="28.85546875" customWidth="1"/>
    <col min="1529" max="1530" width="0" hidden="1" customWidth="1"/>
    <col min="1532" max="1533" width="0" hidden="1" customWidth="1"/>
    <col min="1535" max="1536" width="0" hidden="1" customWidth="1"/>
    <col min="1783" max="1783" width="28.85546875" customWidth="1"/>
    <col min="1785" max="1786" width="0" hidden="1" customWidth="1"/>
    <col min="1788" max="1789" width="0" hidden="1" customWidth="1"/>
    <col min="1791" max="1792" width="0" hidden="1" customWidth="1"/>
    <col min="2039" max="2039" width="28.85546875" customWidth="1"/>
    <col min="2041" max="2042" width="0" hidden="1" customWidth="1"/>
    <col min="2044" max="2045" width="0" hidden="1" customWidth="1"/>
    <col min="2047" max="2048" width="0" hidden="1" customWidth="1"/>
    <col min="2295" max="2295" width="28.85546875" customWidth="1"/>
    <col min="2297" max="2298" width="0" hidden="1" customWidth="1"/>
    <col min="2300" max="2301" width="0" hidden="1" customWidth="1"/>
    <col min="2303" max="2304" width="0" hidden="1" customWidth="1"/>
    <col min="2551" max="2551" width="28.85546875" customWidth="1"/>
    <col min="2553" max="2554" width="0" hidden="1" customWidth="1"/>
    <col min="2556" max="2557" width="0" hidden="1" customWidth="1"/>
    <col min="2559" max="2560" width="0" hidden="1" customWidth="1"/>
    <col min="2807" max="2807" width="28.85546875" customWidth="1"/>
    <col min="2809" max="2810" width="0" hidden="1" customWidth="1"/>
    <col min="2812" max="2813" width="0" hidden="1" customWidth="1"/>
    <col min="2815" max="2816" width="0" hidden="1" customWidth="1"/>
    <col min="3063" max="3063" width="28.85546875" customWidth="1"/>
    <col min="3065" max="3066" width="0" hidden="1" customWidth="1"/>
    <col min="3068" max="3069" width="0" hidden="1" customWidth="1"/>
    <col min="3071" max="3072" width="0" hidden="1" customWidth="1"/>
    <col min="3319" max="3319" width="28.85546875" customWidth="1"/>
    <col min="3321" max="3322" width="0" hidden="1" customWidth="1"/>
    <col min="3324" max="3325" width="0" hidden="1" customWidth="1"/>
    <col min="3327" max="3328" width="0" hidden="1" customWidth="1"/>
    <col min="3575" max="3575" width="28.85546875" customWidth="1"/>
    <col min="3577" max="3578" width="0" hidden="1" customWidth="1"/>
    <col min="3580" max="3581" width="0" hidden="1" customWidth="1"/>
    <col min="3583" max="3584" width="0" hidden="1" customWidth="1"/>
    <col min="3831" max="3831" width="28.85546875" customWidth="1"/>
    <col min="3833" max="3834" width="0" hidden="1" customWidth="1"/>
    <col min="3836" max="3837" width="0" hidden="1" customWidth="1"/>
    <col min="3839" max="3840" width="0" hidden="1" customWidth="1"/>
    <col min="4087" max="4087" width="28.85546875" customWidth="1"/>
    <col min="4089" max="4090" width="0" hidden="1" customWidth="1"/>
    <col min="4092" max="4093" width="0" hidden="1" customWidth="1"/>
    <col min="4095" max="4096" width="0" hidden="1" customWidth="1"/>
    <col min="4343" max="4343" width="28.85546875" customWidth="1"/>
    <col min="4345" max="4346" width="0" hidden="1" customWidth="1"/>
    <col min="4348" max="4349" width="0" hidden="1" customWidth="1"/>
    <col min="4351" max="4352" width="0" hidden="1" customWidth="1"/>
    <col min="4599" max="4599" width="28.85546875" customWidth="1"/>
    <col min="4601" max="4602" width="0" hidden="1" customWidth="1"/>
    <col min="4604" max="4605" width="0" hidden="1" customWidth="1"/>
    <col min="4607" max="4608" width="0" hidden="1" customWidth="1"/>
    <col min="4855" max="4855" width="28.85546875" customWidth="1"/>
    <col min="4857" max="4858" width="0" hidden="1" customWidth="1"/>
    <col min="4860" max="4861" width="0" hidden="1" customWidth="1"/>
    <col min="4863" max="4864" width="0" hidden="1" customWidth="1"/>
    <col min="5111" max="5111" width="28.85546875" customWidth="1"/>
    <col min="5113" max="5114" width="0" hidden="1" customWidth="1"/>
    <col min="5116" max="5117" width="0" hidden="1" customWidth="1"/>
    <col min="5119" max="5120" width="0" hidden="1" customWidth="1"/>
    <col min="5367" max="5367" width="28.85546875" customWidth="1"/>
    <col min="5369" max="5370" width="0" hidden="1" customWidth="1"/>
    <col min="5372" max="5373" width="0" hidden="1" customWidth="1"/>
    <col min="5375" max="5376" width="0" hidden="1" customWidth="1"/>
    <col min="5623" max="5623" width="28.85546875" customWidth="1"/>
    <col min="5625" max="5626" width="0" hidden="1" customWidth="1"/>
    <col min="5628" max="5629" width="0" hidden="1" customWidth="1"/>
    <col min="5631" max="5632" width="0" hidden="1" customWidth="1"/>
    <col min="5879" max="5879" width="28.85546875" customWidth="1"/>
    <col min="5881" max="5882" width="0" hidden="1" customWidth="1"/>
    <col min="5884" max="5885" width="0" hidden="1" customWidth="1"/>
    <col min="5887" max="5888" width="0" hidden="1" customWidth="1"/>
    <col min="6135" max="6135" width="28.85546875" customWidth="1"/>
    <col min="6137" max="6138" width="0" hidden="1" customWidth="1"/>
    <col min="6140" max="6141" width="0" hidden="1" customWidth="1"/>
    <col min="6143" max="6144" width="0" hidden="1" customWidth="1"/>
    <col min="6391" max="6391" width="28.85546875" customWidth="1"/>
    <col min="6393" max="6394" width="0" hidden="1" customWidth="1"/>
    <col min="6396" max="6397" width="0" hidden="1" customWidth="1"/>
    <col min="6399" max="6400" width="0" hidden="1" customWidth="1"/>
    <col min="6647" max="6647" width="28.85546875" customWidth="1"/>
    <col min="6649" max="6650" width="0" hidden="1" customWidth="1"/>
    <col min="6652" max="6653" width="0" hidden="1" customWidth="1"/>
    <col min="6655" max="6656" width="0" hidden="1" customWidth="1"/>
    <col min="6903" max="6903" width="28.85546875" customWidth="1"/>
    <col min="6905" max="6906" width="0" hidden="1" customWidth="1"/>
    <col min="6908" max="6909" width="0" hidden="1" customWidth="1"/>
    <col min="6911" max="6912" width="0" hidden="1" customWidth="1"/>
    <col min="7159" max="7159" width="28.85546875" customWidth="1"/>
    <col min="7161" max="7162" width="0" hidden="1" customWidth="1"/>
    <col min="7164" max="7165" width="0" hidden="1" customWidth="1"/>
    <col min="7167" max="7168" width="0" hidden="1" customWidth="1"/>
    <col min="7415" max="7415" width="28.85546875" customWidth="1"/>
    <col min="7417" max="7418" width="0" hidden="1" customWidth="1"/>
    <col min="7420" max="7421" width="0" hidden="1" customWidth="1"/>
    <col min="7423" max="7424" width="0" hidden="1" customWidth="1"/>
    <col min="7671" max="7671" width="28.85546875" customWidth="1"/>
    <col min="7673" max="7674" width="0" hidden="1" customWidth="1"/>
    <col min="7676" max="7677" width="0" hidden="1" customWidth="1"/>
    <col min="7679" max="7680" width="0" hidden="1" customWidth="1"/>
    <col min="7927" max="7927" width="28.85546875" customWidth="1"/>
    <col min="7929" max="7930" width="0" hidden="1" customWidth="1"/>
    <col min="7932" max="7933" width="0" hidden="1" customWidth="1"/>
    <col min="7935" max="7936" width="0" hidden="1" customWidth="1"/>
    <col min="8183" max="8183" width="28.85546875" customWidth="1"/>
    <col min="8185" max="8186" width="0" hidden="1" customWidth="1"/>
    <col min="8188" max="8189" width="0" hidden="1" customWidth="1"/>
    <col min="8191" max="8192" width="0" hidden="1" customWidth="1"/>
    <col min="8439" max="8439" width="28.85546875" customWidth="1"/>
    <col min="8441" max="8442" width="0" hidden="1" customWidth="1"/>
    <col min="8444" max="8445" width="0" hidden="1" customWidth="1"/>
    <col min="8447" max="8448" width="0" hidden="1" customWidth="1"/>
    <col min="8695" max="8695" width="28.85546875" customWidth="1"/>
    <col min="8697" max="8698" width="0" hidden="1" customWidth="1"/>
    <col min="8700" max="8701" width="0" hidden="1" customWidth="1"/>
    <col min="8703" max="8704" width="0" hidden="1" customWidth="1"/>
    <col min="8951" max="8951" width="28.85546875" customWidth="1"/>
    <col min="8953" max="8954" width="0" hidden="1" customWidth="1"/>
    <col min="8956" max="8957" width="0" hidden="1" customWidth="1"/>
    <col min="8959" max="8960" width="0" hidden="1" customWidth="1"/>
    <col min="9207" max="9207" width="28.85546875" customWidth="1"/>
    <col min="9209" max="9210" width="0" hidden="1" customWidth="1"/>
    <col min="9212" max="9213" width="0" hidden="1" customWidth="1"/>
    <col min="9215" max="9216" width="0" hidden="1" customWidth="1"/>
    <col min="9463" max="9463" width="28.85546875" customWidth="1"/>
    <col min="9465" max="9466" width="0" hidden="1" customWidth="1"/>
    <col min="9468" max="9469" width="0" hidden="1" customWidth="1"/>
    <col min="9471" max="9472" width="0" hidden="1" customWidth="1"/>
    <col min="9719" max="9719" width="28.85546875" customWidth="1"/>
    <col min="9721" max="9722" width="0" hidden="1" customWidth="1"/>
    <col min="9724" max="9725" width="0" hidden="1" customWidth="1"/>
    <col min="9727" max="9728" width="0" hidden="1" customWidth="1"/>
    <col min="9975" max="9975" width="28.85546875" customWidth="1"/>
    <col min="9977" max="9978" width="0" hidden="1" customWidth="1"/>
    <col min="9980" max="9981" width="0" hidden="1" customWidth="1"/>
    <col min="9983" max="9984" width="0" hidden="1" customWidth="1"/>
    <col min="10231" max="10231" width="28.85546875" customWidth="1"/>
    <col min="10233" max="10234" width="0" hidden="1" customWidth="1"/>
    <col min="10236" max="10237" width="0" hidden="1" customWidth="1"/>
    <col min="10239" max="10240" width="0" hidden="1" customWidth="1"/>
    <col min="10487" max="10487" width="28.85546875" customWidth="1"/>
    <col min="10489" max="10490" width="0" hidden="1" customWidth="1"/>
    <col min="10492" max="10493" width="0" hidden="1" customWidth="1"/>
    <col min="10495" max="10496" width="0" hidden="1" customWidth="1"/>
    <col min="10743" max="10743" width="28.85546875" customWidth="1"/>
    <col min="10745" max="10746" width="0" hidden="1" customWidth="1"/>
    <col min="10748" max="10749" width="0" hidden="1" customWidth="1"/>
    <col min="10751" max="10752" width="0" hidden="1" customWidth="1"/>
    <col min="10999" max="10999" width="28.85546875" customWidth="1"/>
    <col min="11001" max="11002" width="0" hidden="1" customWidth="1"/>
    <col min="11004" max="11005" width="0" hidden="1" customWidth="1"/>
    <col min="11007" max="11008" width="0" hidden="1" customWidth="1"/>
    <col min="11255" max="11255" width="28.85546875" customWidth="1"/>
    <col min="11257" max="11258" width="0" hidden="1" customWidth="1"/>
    <col min="11260" max="11261" width="0" hidden="1" customWidth="1"/>
    <col min="11263" max="11264" width="0" hidden="1" customWidth="1"/>
    <col min="11511" max="11511" width="28.85546875" customWidth="1"/>
    <col min="11513" max="11514" width="0" hidden="1" customWidth="1"/>
    <col min="11516" max="11517" width="0" hidden="1" customWidth="1"/>
    <col min="11519" max="11520" width="0" hidden="1" customWidth="1"/>
    <col min="11767" max="11767" width="28.85546875" customWidth="1"/>
    <col min="11769" max="11770" width="0" hidden="1" customWidth="1"/>
    <col min="11772" max="11773" width="0" hidden="1" customWidth="1"/>
    <col min="11775" max="11776" width="0" hidden="1" customWidth="1"/>
    <col min="12023" max="12023" width="28.85546875" customWidth="1"/>
    <col min="12025" max="12026" width="0" hidden="1" customWidth="1"/>
    <col min="12028" max="12029" width="0" hidden="1" customWidth="1"/>
    <col min="12031" max="12032" width="0" hidden="1" customWidth="1"/>
    <col min="12279" max="12279" width="28.85546875" customWidth="1"/>
    <col min="12281" max="12282" width="0" hidden="1" customWidth="1"/>
    <col min="12284" max="12285" width="0" hidden="1" customWidth="1"/>
    <col min="12287" max="12288" width="0" hidden="1" customWidth="1"/>
    <col min="12535" max="12535" width="28.85546875" customWidth="1"/>
    <col min="12537" max="12538" width="0" hidden="1" customWidth="1"/>
    <col min="12540" max="12541" width="0" hidden="1" customWidth="1"/>
    <col min="12543" max="12544" width="0" hidden="1" customWidth="1"/>
    <col min="12791" max="12791" width="28.85546875" customWidth="1"/>
    <col min="12793" max="12794" width="0" hidden="1" customWidth="1"/>
    <col min="12796" max="12797" width="0" hidden="1" customWidth="1"/>
    <col min="12799" max="12800" width="0" hidden="1" customWidth="1"/>
    <col min="13047" max="13047" width="28.85546875" customWidth="1"/>
    <col min="13049" max="13050" width="0" hidden="1" customWidth="1"/>
    <col min="13052" max="13053" width="0" hidden="1" customWidth="1"/>
    <col min="13055" max="13056" width="0" hidden="1" customWidth="1"/>
    <col min="13303" max="13303" width="28.85546875" customWidth="1"/>
    <col min="13305" max="13306" width="0" hidden="1" customWidth="1"/>
    <col min="13308" max="13309" width="0" hidden="1" customWidth="1"/>
    <col min="13311" max="13312" width="0" hidden="1" customWidth="1"/>
    <col min="13559" max="13559" width="28.85546875" customWidth="1"/>
    <col min="13561" max="13562" width="0" hidden="1" customWidth="1"/>
    <col min="13564" max="13565" width="0" hidden="1" customWidth="1"/>
    <col min="13567" max="13568" width="0" hidden="1" customWidth="1"/>
    <col min="13815" max="13815" width="28.85546875" customWidth="1"/>
    <col min="13817" max="13818" width="0" hidden="1" customWidth="1"/>
    <col min="13820" max="13821" width="0" hidden="1" customWidth="1"/>
    <col min="13823" max="13824" width="0" hidden="1" customWidth="1"/>
    <col min="14071" max="14071" width="28.85546875" customWidth="1"/>
    <col min="14073" max="14074" width="0" hidden="1" customWidth="1"/>
    <col min="14076" max="14077" width="0" hidden="1" customWidth="1"/>
    <col min="14079" max="14080" width="0" hidden="1" customWidth="1"/>
    <col min="14327" max="14327" width="28.85546875" customWidth="1"/>
    <col min="14329" max="14330" width="0" hidden="1" customWidth="1"/>
    <col min="14332" max="14333" width="0" hidden="1" customWidth="1"/>
    <col min="14335" max="14336" width="0" hidden="1" customWidth="1"/>
    <col min="14583" max="14583" width="28.85546875" customWidth="1"/>
    <col min="14585" max="14586" width="0" hidden="1" customWidth="1"/>
    <col min="14588" max="14589" width="0" hidden="1" customWidth="1"/>
    <col min="14591" max="14592" width="0" hidden="1" customWidth="1"/>
    <col min="14839" max="14839" width="28.85546875" customWidth="1"/>
    <col min="14841" max="14842" width="0" hidden="1" customWidth="1"/>
    <col min="14844" max="14845" width="0" hidden="1" customWidth="1"/>
    <col min="14847" max="14848" width="0" hidden="1" customWidth="1"/>
    <col min="15095" max="15095" width="28.85546875" customWidth="1"/>
    <col min="15097" max="15098" width="0" hidden="1" customWidth="1"/>
    <col min="15100" max="15101" width="0" hidden="1" customWidth="1"/>
    <col min="15103" max="15104" width="0" hidden="1" customWidth="1"/>
    <col min="15351" max="15351" width="28.85546875" customWidth="1"/>
    <col min="15353" max="15354" width="0" hidden="1" customWidth="1"/>
    <col min="15356" max="15357" width="0" hidden="1" customWidth="1"/>
    <col min="15359" max="15360" width="0" hidden="1" customWidth="1"/>
    <col min="15607" max="15607" width="28.85546875" customWidth="1"/>
    <col min="15609" max="15610" width="0" hidden="1" customWidth="1"/>
    <col min="15612" max="15613" width="0" hidden="1" customWidth="1"/>
    <col min="15615" max="15616" width="0" hidden="1" customWidth="1"/>
    <col min="15863" max="15863" width="28.85546875" customWidth="1"/>
    <col min="15865" max="15866" width="0" hidden="1" customWidth="1"/>
    <col min="15868" max="15869" width="0" hidden="1" customWidth="1"/>
    <col min="15871" max="15872" width="0" hidden="1" customWidth="1"/>
    <col min="16119" max="16119" width="28.85546875" customWidth="1"/>
    <col min="16121" max="16122" width="0" hidden="1" customWidth="1"/>
    <col min="16124" max="16125" width="0" hidden="1" customWidth="1"/>
    <col min="16127" max="16128" width="0" hidden="1" customWidth="1"/>
    <col min="16367" max="16372" width="11.42578125" customWidth="1"/>
  </cols>
  <sheetData>
    <row r="1" spans="1:30">
      <c r="A1" s="11"/>
      <c r="B1" s="11"/>
    </row>
    <row r="2" spans="1:30" ht="21" customHeight="1">
      <c r="A2" s="11"/>
      <c r="B2" s="11"/>
      <c r="C2" s="434" t="s">
        <v>76</v>
      </c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  <c r="O2" s="434"/>
      <c r="P2" s="434"/>
      <c r="Q2" s="434"/>
      <c r="R2" s="434"/>
      <c r="S2" s="434"/>
      <c r="T2" s="434"/>
      <c r="U2" s="434"/>
      <c r="V2" s="434"/>
      <c r="W2" s="434"/>
      <c r="X2" s="434"/>
      <c r="Y2" s="434"/>
      <c r="Z2" s="434"/>
      <c r="AA2" s="434"/>
      <c r="AB2" s="434"/>
      <c r="AC2" s="434"/>
      <c r="AD2" s="434"/>
    </row>
    <row r="3" spans="1:30" ht="18.75" customHeight="1">
      <c r="A3" s="11"/>
      <c r="B3" s="11"/>
      <c r="C3" s="422" t="s">
        <v>276</v>
      </c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</row>
    <row r="4" spans="1:30" ht="18.75" customHeight="1">
      <c r="A4" s="11"/>
      <c r="B4" s="11"/>
      <c r="C4" s="422" t="s">
        <v>277</v>
      </c>
      <c r="D4" s="422"/>
      <c r="E4" s="422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2"/>
      <c r="R4" s="422"/>
      <c r="S4" s="422"/>
      <c r="T4" s="422"/>
      <c r="U4" s="422"/>
      <c r="V4" s="422"/>
      <c r="W4" s="422"/>
      <c r="X4" s="422"/>
      <c r="Y4" s="422"/>
      <c r="Z4" s="422"/>
      <c r="AA4" s="422"/>
      <c r="AB4" s="422"/>
      <c r="AC4" s="422"/>
      <c r="AD4" s="422"/>
    </row>
    <row r="5" spans="1:30" ht="18.75" customHeight="1">
      <c r="A5" s="11"/>
      <c r="B5" s="11"/>
      <c r="C5" s="435" t="s">
        <v>285</v>
      </c>
      <c r="D5" s="435"/>
      <c r="E5" s="435"/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5"/>
      <c r="S5" s="435"/>
      <c r="T5" s="435"/>
      <c r="U5" s="435"/>
      <c r="V5" s="435"/>
      <c r="W5" s="435"/>
      <c r="X5" s="435"/>
      <c r="Y5" s="435"/>
      <c r="Z5" s="435"/>
      <c r="AA5" s="435"/>
      <c r="AB5" s="435"/>
      <c r="AC5" s="435"/>
      <c r="AD5" s="435"/>
    </row>
    <row r="6" spans="1:30" s="9" customFormat="1" ht="19.5" customHeight="1">
      <c r="A6" s="151"/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</row>
    <row r="7" spans="1:30" ht="15.75" thickBot="1">
      <c r="A7" s="11"/>
    </row>
    <row r="8" spans="1:30">
      <c r="A8" s="436" t="s">
        <v>278</v>
      </c>
      <c r="B8" s="437"/>
      <c r="C8" s="160">
        <v>595426164</v>
      </c>
      <c r="D8" s="153"/>
      <c r="E8" s="77"/>
      <c r="F8" s="77"/>
    </row>
    <row r="9" spans="1:30">
      <c r="A9" s="438" t="s">
        <v>279</v>
      </c>
      <c r="B9" s="439"/>
      <c r="C9" s="161">
        <f>G23</f>
        <v>592426164</v>
      </c>
      <c r="D9" s="154"/>
      <c r="E9" s="77"/>
      <c r="F9" s="77"/>
    </row>
    <row r="10" spans="1:30">
      <c r="A10" s="438" t="s">
        <v>5</v>
      </c>
      <c r="B10" s="439"/>
      <c r="C10" s="161">
        <f>P23</f>
        <v>355824422.76999998</v>
      </c>
      <c r="D10" s="154"/>
      <c r="E10" s="77"/>
      <c r="F10" s="77"/>
    </row>
    <row r="11" spans="1:30" ht="15.75" thickBot="1">
      <c r="A11" s="440" t="s">
        <v>12</v>
      </c>
      <c r="B11" s="441"/>
      <c r="C11" s="162">
        <f>C9-C10</f>
        <v>236601741.23000002</v>
      </c>
      <c r="D11" s="154"/>
      <c r="E11" s="77"/>
      <c r="F11" s="77"/>
    </row>
    <row r="12" spans="1:30">
      <c r="A12" s="155"/>
      <c r="B12" s="156"/>
      <c r="C12" s="156"/>
      <c r="D12" s="156"/>
      <c r="E12" s="156"/>
      <c r="R12" s="78"/>
    </row>
    <row r="13" spans="1:30" ht="16.5" thickBot="1">
      <c r="A13" s="155"/>
      <c r="B13" s="156"/>
      <c r="C13" s="156"/>
      <c r="D13" s="156"/>
      <c r="E13" s="156"/>
      <c r="S13" s="245"/>
      <c r="U13" s="245"/>
      <c r="AD13" s="326" t="s">
        <v>548</v>
      </c>
    </row>
    <row r="14" spans="1:30" s="248" customFormat="1" ht="16.5" thickTop="1" thickBot="1">
      <c r="A14" s="246"/>
      <c r="B14" s="246"/>
      <c r="C14" s="246"/>
      <c r="D14" s="246"/>
      <c r="E14" s="246"/>
      <c r="F14" s="246"/>
      <c r="G14" s="442" t="s">
        <v>13</v>
      </c>
      <c r="H14" s="442"/>
      <c r="I14" s="442"/>
      <c r="J14" s="442"/>
      <c r="K14" s="442"/>
      <c r="L14" s="253" t="s">
        <v>14</v>
      </c>
      <c r="M14" s="253"/>
      <c r="N14" s="253"/>
      <c r="O14" s="253"/>
      <c r="P14" s="347" t="s">
        <v>14</v>
      </c>
      <c r="Q14" s="431" t="s">
        <v>15</v>
      </c>
      <c r="R14" s="432"/>
      <c r="S14" s="432"/>
      <c r="T14" s="432"/>
      <c r="U14" s="433"/>
      <c r="V14" s="247"/>
      <c r="Y14" s="249"/>
      <c r="Z14" s="249"/>
      <c r="AA14" s="249"/>
      <c r="AB14" s="250"/>
    </row>
    <row r="15" spans="1:30" s="256" customFormat="1" ht="23.25" thickBot="1">
      <c r="A15" s="251" t="s">
        <v>280</v>
      </c>
      <c r="B15" s="252" t="s">
        <v>17</v>
      </c>
      <c r="C15" s="252" t="s">
        <v>18</v>
      </c>
      <c r="D15" s="253" t="s">
        <v>19</v>
      </c>
      <c r="E15" s="253" t="s">
        <v>77</v>
      </c>
      <c r="F15" s="253" t="s">
        <v>21</v>
      </c>
      <c r="G15" s="253" t="s">
        <v>22</v>
      </c>
      <c r="H15" s="253" t="s">
        <v>23</v>
      </c>
      <c r="I15" s="253" t="s">
        <v>514</v>
      </c>
      <c r="J15" s="253" t="s">
        <v>515</v>
      </c>
      <c r="K15" s="253" t="s">
        <v>78</v>
      </c>
      <c r="L15" s="254" t="s">
        <v>22</v>
      </c>
      <c r="M15" s="253" t="s">
        <v>23</v>
      </c>
      <c r="N15" s="253" t="s">
        <v>514</v>
      </c>
      <c r="O15" s="253" t="s">
        <v>515</v>
      </c>
      <c r="P15" s="346" t="s">
        <v>22</v>
      </c>
      <c r="Q15" s="253" t="s">
        <v>22</v>
      </c>
      <c r="R15" s="253" t="s">
        <v>23</v>
      </c>
      <c r="S15" s="253" t="s">
        <v>514</v>
      </c>
      <c r="T15" s="253" t="s">
        <v>515</v>
      </c>
      <c r="U15" s="253" t="s">
        <v>78</v>
      </c>
      <c r="V15" s="253" t="s">
        <v>24</v>
      </c>
      <c r="W15" s="253" t="s">
        <v>25</v>
      </c>
      <c r="X15" s="253" t="s">
        <v>26</v>
      </c>
      <c r="Y15" s="253" t="s">
        <v>360</v>
      </c>
      <c r="Z15" s="253" t="s">
        <v>361</v>
      </c>
      <c r="AA15" s="253" t="s">
        <v>28</v>
      </c>
      <c r="AB15" s="253" t="s">
        <v>29</v>
      </c>
      <c r="AC15" s="253" t="s">
        <v>30</v>
      </c>
      <c r="AD15" s="255" t="s">
        <v>362</v>
      </c>
    </row>
    <row r="16" spans="1:30" s="92" customFormat="1" ht="42.75">
      <c r="A16" s="269" t="s">
        <v>139</v>
      </c>
      <c r="B16" s="270">
        <v>43497</v>
      </c>
      <c r="C16" s="271" t="s">
        <v>284</v>
      </c>
      <c r="D16" s="271" t="s">
        <v>363</v>
      </c>
      <c r="E16" s="271">
        <v>1</v>
      </c>
      <c r="F16" s="272" t="s">
        <v>281</v>
      </c>
      <c r="G16" s="99">
        <f>K16</f>
        <v>461299023.08999997</v>
      </c>
      <c r="H16" s="100">
        <v>0</v>
      </c>
      <c r="I16" s="100"/>
      <c r="J16" s="100"/>
      <c r="K16" s="100">
        <v>461299023.08999997</v>
      </c>
      <c r="L16" s="202">
        <f t="shared" ref="L16" si="0">+M16+N16+O16+P16</f>
        <v>226363598</v>
      </c>
      <c r="M16" s="202">
        <v>0</v>
      </c>
      <c r="N16" s="202"/>
      <c r="O16" s="273"/>
      <c r="P16" s="170">
        <v>226363598</v>
      </c>
      <c r="Q16" s="99">
        <f t="shared" ref="Q16" si="1">+G16-L16-S16-T16</f>
        <v>234935425.08999997</v>
      </c>
      <c r="R16" s="274">
        <f t="shared" ref="R16" si="2">H16-M16</f>
        <v>0</v>
      </c>
      <c r="S16" s="275"/>
      <c r="T16" s="275"/>
      <c r="U16" s="275">
        <f t="shared" ref="U16" si="3">G16-P16</f>
        <v>234935425.08999997</v>
      </c>
      <c r="V16" s="104" t="s">
        <v>364</v>
      </c>
      <c r="W16" s="158">
        <f t="shared" ref="W16:W19" si="4">L16/G16</f>
        <v>0.49070903398777888</v>
      </c>
      <c r="X16" s="276">
        <f t="shared" ref="X16:X19" si="5">W16</f>
        <v>0.49070903398777888</v>
      </c>
      <c r="Y16" s="159" t="s">
        <v>283</v>
      </c>
      <c r="Z16" s="277">
        <v>1</v>
      </c>
      <c r="AA16" s="277">
        <v>877190</v>
      </c>
      <c r="AB16" s="277" t="s">
        <v>282</v>
      </c>
      <c r="AC16" s="277" t="s">
        <v>282</v>
      </c>
      <c r="AD16" s="277" t="s">
        <v>282</v>
      </c>
    </row>
    <row r="17" spans="1:31" s="92" customFormat="1" ht="45">
      <c r="A17" s="269" t="s">
        <v>365</v>
      </c>
      <c r="B17" s="270">
        <v>43539</v>
      </c>
      <c r="C17" s="271" t="s">
        <v>366</v>
      </c>
      <c r="D17" s="271"/>
      <c r="E17" s="271">
        <v>61</v>
      </c>
      <c r="F17" s="272" t="s">
        <v>367</v>
      </c>
      <c r="G17" s="99">
        <f t="shared" ref="G17:G19" si="6">K17</f>
        <v>2500000</v>
      </c>
      <c r="H17" s="100">
        <v>0</v>
      </c>
      <c r="I17" s="100"/>
      <c r="J17" s="100"/>
      <c r="K17" s="100">
        <v>2500000</v>
      </c>
      <c r="L17" s="202">
        <f t="shared" ref="L17:L19" si="7">P17</f>
        <v>2499500.02</v>
      </c>
      <c r="M17" s="201"/>
      <c r="N17" s="201"/>
      <c r="O17" s="278"/>
      <c r="P17" s="170">
        <v>2499500.02</v>
      </c>
      <c r="Q17" s="99">
        <f t="shared" ref="Q17:Q19" si="8">K17-P17</f>
        <v>499.97999999998137</v>
      </c>
      <c r="R17" s="274"/>
      <c r="S17" s="275"/>
      <c r="T17" s="275"/>
      <c r="U17" s="275"/>
      <c r="V17" s="104" t="s">
        <v>364</v>
      </c>
      <c r="W17" s="158">
        <f t="shared" si="4"/>
        <v>0.99980000800000002</v>
      </c>
      <c r="X17" s="276">
        <f t="shared" si="5"/>
        <v>0.99980000800000002</v>
      </c>
      <c r="Y17" s="159" t="s">
        <v>368</v>
      </c>
      <c r="Z17" s="277">
        <v>4463</v>
      </c>
      <c r="AA17" s="277">
        <v>4463</v>
      </c>
      <c r="AB17" s="257" t="s">
        <v>79</v>
      </c>
      <c r="AC17" s="257" t="s">
        <v>544</v>
      </c>
      <c r="AD17" s="257" t="s">
        <v>545</v>
      </c>
    </row>
    <row r="18" spans="1:31" s="92" customFormat="1" ht="42.75">
      <c r="A18" s="269" t="s">
        <v>365</v>
      </c>
      <c r="B18" s="270">
        <v>43539</v>
      </c>
      <c r="C18" s="271" t="s">
        <v>369</v>
      </c>
      <c r="D18" s="271"/>
      <c r="E18" s="271">
        <v>62</v>
      </c>
      <c r="F18" s="272" t="s">
        <v>370</v>
      </c>
      <c r="G18" s="99">
        <f t="shared" si="6"/>
        <v>17000000</v>
      </c>
      <c r="H18" s="100">
        <v>0</v>
      </c>
      <c r="I18" s="100"/>
      <c r="J18" s="100"/>
      <c r="K18" s="100">
        <v>17000000</v>
      </c>
      <c r="L18" s="202">
        <f t="shared" si="7"/>
        <v>16940157</v>
      </c>
      <c r="M18" s="201"/>
      <c r="N18" s="201"/>
      <c r="O18" s="278"/>
      <c r="P18" s="170">
        <v>16940157</v>
      </c>
      <c r="Q18" s="99">
        <f t="shared" si="8"/>
        <v>59843</v>
      </c>
      <c r="R18" s="274"/>
      <c r="S18" s="275"/>
      <c r="T18" s="275"/>
      <c r="U18" s="275"/>
      <c r="V18" s="104" t="s">
        <v>364</v>
      </c>
      <c r="W18" s="158">
        <f t="shared" si="4"/>
        <v>0.99647982352941178</v>
      </c>
      <c r="X18" s="276">
        <f t="shared" si="5"/>
        <v>0.99647982352941178</v>
      </c>
      <c r="Y18" s="159" t="s">
        <v>368</v>
      </c>
      <c r="Z18" s="277">
        <v>99675</v>
      </c>
      <c r="AA18" s="277">
        <v>99675</v>
      </c>
      <c r="AB18" s="277" t="s">
        <v>282</v>
      </c>
      <c r="AC18" s="277" t="s">
        <v>282</v>
      </c>
      <c r="AD18" s="277" t="s">
        <v>282</v>
      </c>
    </row>
    <row r="19" spans="1:31" s="92" customFormat="1" ht="45">
      <c r="A19" s="269" t="s">
        <v>365</v>
      </c>
      <c r="B19" s="270">
        <v>43539</v>
      </c>
      <c r="C19" s="271" t="s">
        <v>371</v>
      </c>
      <c r="D19" s="271"/>
      <c r="E19" s="271">
        <v>63</v>
      </c>
      <c r="F19" s="272" t="s">
        <v>372</v>
      </c>
      <c r="G19" s="99">
        <f t="shared" si="6"/>
        <v>13340000</v>
      </c>
      <c r="H19" s="100">
        <v>0</v>
      </c>
      <c r="I19" s="100"/>
      <c r="J19" s="100"/>
      <c r="K19" s="100">
        <v>13340000</v>
      </c>
      <c r="L19" s="202">
        <f t="shared" si="7"/>
        <v>11737414</v>
      </c>
      <c r="M19" s="201"/>
      <c r="N19" s="201"/>
      <c r="O19" s="278"/>
      <c r="P19" s="170">
        <v>11737414</v>
      </c>
      <c r="Q19" s="99">
        <f t="shared" si="8"/>
        <v>1602586</v>
      </c>
      <c r="R19" s="274"/>
      <c r="S19" s="275"/>
      <c r="T19" s="275"/>
      <c r="U19" s="275"/>
      <c r="V19" s="104" t="s">
        <v>364</v>
      </c>
      <c r="W19" s="158">
        <f t="shared" si="4"/>
        <v>0.87986611694152927</v>
      </c>
      <c r="X19" s="276">
        <f t="shared" si="5"/>
        <v>0.87986611694152927</v>
      </c>
      <c r="Y19" s="159" t="s">
        <v>368</v>
      </c>
      <c r="Z19" s="277">
        <v>13639</v>
      </c>
      <c r="AA19" s="277">
        <v>13639</v>
      </c>
      <c r="AB19" s="257" t="s">
        <v>79</v>
      </c>
      <c r="AC19" s="257" t="s">
        <v>518</v>
      </c>
      <c r="AD19" s="257" t="s">
        <v>519</v>
      </c>
    </row>
    <row r="20" spans="1:31" s="92" customFormat="1" ht="42.75">
      <c r="A20" s="269" t="s">
        <v>365</v>
      </c>
      <c r="B20" s="270">
        <v>43539</v>
      </c>
      <c r="C20" s="271" t="s">
        <v>373</v>
      </c>
      <c r="D20" s="271"/>
      <c r="E20" s="271">
        <v>64</v>
      </c>
      <c r="F20" s="272" t="s">
        <v>374</v>
      </c>
      <c r="G20" s="99">
        <f>K20</f>
        <v>22860000</v>
      </c>
      <c r="H20" s="100">
        <v>0</v>
      </c>
      <c r="I20" s="100"/>
      <c r="J20" s="100"/>
      <c r="K20" s="100">
        <v>22860000</v>
      </c>
      <c r="L20" s="202">
        <f>P20</f>
        <v>22856612.75</v>
      </c>
      <c r="M20" s="201"/>
      <c r="N20" s="201"/>
      <c r="O20" s="278"/>
      <c r="P20" s="170">
        <v>22856612.75</v>
      </c>
      <c r="Q20" s="99">
        <f>K20-P20</f>
        <v>3387.25</v>
      </c>
      <c r="R20" s="274"/>
      <c r="S20" s="275"/>
      <c r="T20" s="275"/>
      <c r="U20" s="275"/>
      <c r="V20" s="104" t="s">
        <v>364</v>
      </c>
      <c r="W20" s="158">
        <f>L20/G20</f>
        <v>0.99985182633420822</v>
      </c>
      <c r="X20" s="276">
        <f>W20</f>
        <v>0.99985182633420822</v>
      </c>
      <c r="Y20" s="159" t="s">
        <v>368</v>
      </c>
      <c r="Z20" s="277">
        <v>116153</v>
      </c>
      <c r="AA20" s="277">
        <v>116153</v>
      </c>
      <c r="AB20" s="257" t="s">
        <v>79</v>
      </c>
      <c r="AC20" s="257" t="s">
        <v>520</v>
      </c>
      <c r="AD20" s="257" t="s">
        <v>521</v>
      </c>
    </row>
    <row r="21" spans="1:31" s="92" customFormat="1" ht="42.75">
      <c r="A21" s="269" t="s">
        <v>365</v>
      </c>
      <c r="B21" s="270">
        <v>43577</v>
      </c>
      <c r="C21" s="271" t="s">
        <v>516</v>
      </c>
      <c r="D21" s="271"/>
      <c r="E21" s="271">
        <v>87</v>
      </c>
      <c r="F21" s="272" t="s">
        <v>517</v>
      </c>
      <c r="G21" s="99">
        <f>K21</f>
        <v>75427140.909999996</v>
      </c>
      <c r="H21" s="100"/>
      <c r="I21" s="100"/>
      <c r="J21" s="100"/>
      <c r="K21" s="100">
        <v>75427140.909999996</v>
      </c>
      <c r="L21" s="202">
        <f>P21</f>
        <v>75427141</v>
      </c>
      <c r="M21" s="201"/>
      <c r="N21" s="201"/>
      <c r="O21" s="278"/>
      <c r="P21" s="170">
        <v>75427141</v>
      </c>
      <c r="Q21" s="99">
        <f>K21-P21</f>
        <v>-9.0000003576278687E-2</v>
      </c>
      <c r="R21" s="274"/>
      <c r="S21" s="275"/>
      <c r="T21" s="275"/>
      <c r="U21" s="275"/>
      <c r="V21" s="104"/>
      <c r="W21" s="158">
        <f>L21/G21</f>
        <v>1.0000000011932044</v>
      </c>
      <c r="X21" s="276">
        <f>W21</f>
        <v>1.0000000011932044</v>
      </c>
      <c r="Y21" s="159"/>
      <c r="Z21" s="277"/>
      <c r="AA21" s="277"/>
      <c r="AB21" s="277"/>
      <c r="AC21" s="277"/>
      <c r="AD21" s="277"/>
    </row>
    <row r="22" spans="1:31" s="92" customFormat="1" ht="15.75" thickBot="1">
      <c r="A22" s="279"/>
      <c r="B22" s="280"/>
      <c r="C22" s="281"/>
      <c r="D22" s="281"/>
      <c r="E22" s="281"/>
      <c r="F22" s="282"/>
      <c r="G22" s="283"/>
      <c r="H22" s="284"/>
      <c r="I22" s="284"/>
      <c r="J22" s="284"/>
      <c r="K22" s="284"/>
      <c r="L22" s="285"/>
      <c r="M22" s="283"/>
      <c r="N22" s="283"/>
      <c r="O22" s="284"/>
      <c r="P22" s="284"/>
      <c r="Q22" s="283"/>
      <c r="R22" s="286"/>
      <c r="S22" s="287"/>
      <c r="T22" s="287"/>
      <c r="U22" s="287"/>
      <c r="V22" s="288"/>
      <c r="W22" s="289"/>
      <c r="X22" s="290"/>
      <c r="Y22" s="291"/>
      <c r="Z22" s="288"/>
      <c r="AA22" s="292"/>
      <c r="AB22" s="292"/>
      <c r="AC22" s="292"/>
      <c r="AD22" s="292"/>
    </row>
    <row r="23" spans="1:31" s="92" customFormat="1" ht="16.5" thickTop="1" thickBot="1">
      <c r="A23" s="122"/>
      <c r="B23" s="122"/>
      <c r="C23" s="122"/>
      <c r="D23" s="122"/>
      <c r="E23" s="122"/>
      <c r="F23" s="129" t="s">
        <v>37</v>
      </c>
      <c r="G23" s="130">
        <f>SUM(G16:G21)</f>
        <v>592426164</v>
      </c>
      <c r="H23" s="130">
        <f>SUM(H16:H16)</f>
        <v>0</v>
      </c>
      <c r="I23" s="130" t="e">
        <f>SUM(#REF!)</f>
        <v>#REF!</v>
      </c>
      <c r="J23" s="130" t="e">
        <f>SUM(#REF!)</f>
        <v>#REF!</v>
      </c>
      <c r="K23" s="130">
        <f>SUM(K16:K21)</f>
        <v>592426164</v>
      </c>
      <c r="L23" s="130">
        <f>SUM(L16:L21)</f>
        <v>355824422.76999998</v>
      </c>
      <c r="M23" s="130">
        <f t="shared" ref="M23:O23" si="9">SUM(M16:M20)</f>
        <v>0</v>
      </c>
      <c r="N23" s="130">
        <f t="shared" si="9"/>
        <v>0</v>
      </c>
      <c r="O23" s="130">
        <f t="shared" si="9"/>
        <v>0</v>
      </c>
      <c r="P23" s="130">
        <f>SUM(P16:P21)</f>
        <v>355824422.76999998</v>
      </c>
      <c r="Q23" s="130">
        <f>SUM(Q16:Q21)</f>
        <v>236601741.22999996</v>
      </c>
      <c r="R23" s="130">
        <f>SUM(R16:T16)</f>
        <v>0</v>
      </c>
      <c r="S23" s="130"/>
      <c r="T23" s="130"/>
      <c r="U23" s="130">
        <f>SUM(U16:U16)</f>
        <v>234935425.08999997</v>
      </c>
      <c r="V23" s="137"/>
      <c r="W23" s="293"/>
      <c r="Y23" s="348"/>
      <c r="Z23" s="135"/>
      <c r="AA23" s="135"/>
      <c r="AB23" s="128"/>
    </row>
    <row r="24" spans="1:31" s="256" customFormat="1" ht="13.5" thickTop="1">
      <c r="A24" s="264"/>
      <c r="G24" s="260"/>
      <c r="H24" s="265"/>
      <c r="I24" s="265"/>
      <c r="J24" s="265"/>
      <c r="K24" s="265"/>
      <c r="L24" s="265"/>
      <c r="M24" s="265"/>
      <c r="N24" s="265"/>
      <c r="O24" s="265"/>
      <c r="P24" s="265"/>
      <c r="Q24" s="265"/>
      <c r="V24" s="265"/>
      <c r="Y24" s="261"/>
      <c r="Z24" s="262"/>
      <c r="AA24" s="262"/>
      <c r="AB24" s="263"/>
    </row>
    <row r="25" spans="1:31" s="263" customFormat="1" ht="12.75">
      <c r="A25" s="240" t="s">
        <v>38</v>
      </c>
      <c r="B25" s="256"/>
      <c r="C25" s="256"/>
      <c r="D25" s="256"/>
      <c r="E25" s="256"/>
      <c r="F25" s="256"/>
      <c r="G25" s="265"/>
      <c r="H25" s="265"/>
      <c r="I25" s="265"/>
      <c r="J25" s="265"/>
      <c r="K25" s="265"/>
      <c r="L25" s="265"/>
      <c r="M25" s="265"/>
      <c r="N25" s="265"/>
      <c r="O25" s="265"/>
      <c r="P25" s="265"/>
      <c r="Q25" s="265"/>
      <c r="R25" s="266"/>
      <c r="S25" s="266"/>
      <c r="T25" s="266"/>
      <c r="U25" s="266"/>
      <c r="V25" s="265"/>
      <c r="W25" s="256"/>
      <c r="X25" s="256"/>
      <c r="Y25" s="261"/>
      <c r="Z25" s="262"/>
      <c r="AA25" s="262"/>
      <c r="AC25" s="256"/>
      <c r="AD25" s="256"/>
      <c r="AE25" s="256"/>
    </row>
    <row r="26" spans="1:31">
      <c r="L26" s="267"/>
    </row>
    <row r="27" spans="1:31">
      <c r="F27" s="157"/>
      <c r="G27" s="157"/>
      <c r="P27" s="2"/>
    </row>
    <row r="28" spans="1:31">
      <c r="P28" s="2"/>
      <c r="Q28" s="268"/>
    </row>
    <row r="29" spans="1:31">
      <c r="P29" s="2"/>
      <c r="Q29" s="267"/>
    </row>
    <row r="30" spans="1:31">
      <c r="P30" s="2"/>
      <c r="Q30" s="267"/>
    </row>
    <row r="31" spans="1:31">
      <c r="P31" s="25"/>
      <c r="Q31" s="25"/>
    </row>
    <row r="32" spans="1:31" ht="23.25" customHeight="1">
      <c r="C32" s="167"/>
      <c r="O32" s="163"/>
      <c r="P32" s="267"/>
    </row>
    <row r="33" spans="15:15" s="163" customFormat="1" ht="33.75" customHeight="1"/>
    <row r="34" spans="15:15">
      <c r="O34" s="163"/>
    </row>
  </sheetData>
  <mergeCells count="10">
    <mergeCell ref="A8:B8"/>
    <mergeCell ref="A9:B9"/>
    <mergeCell ref="A10:B10"/>
    <mergeCell ref="A11:B11"/>
    <mergeCell ref="G14:K14"/>
    <mergeCell ref="Q14:U14"/>
    <mergeCell ref="C2:AD2"/>
    <mergeCell ref="C3:AD3"/>
    <mergeCell ref="C4:AD4"/>
    <mergeCell ref="C5:AD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6"/>
  <sheetViews>
    <sheetView workbookViewId="0">
      <selection activeCell="Y19" sqref="Y19"/>
    </sheetView>
  </sheetViews>
  <sheetFormatPr baseColWidth="10" defaultRowHeight="15"/>
  <cols>
    <col min="1" max="1" width="12.42578125" customWidth="1"/>
    <col min="3" max="3" width="21.7109375" customWidth="1"/>
    <col min="4" max="4" width="9.85546875" hidden="1" customWidth="1"/>
    <col min="5" max="5" width="11.5703125" customWidth="1"/>
    <col min="6" max="6" width="37.7109375" customWidth="1"/>
    <col min="7" max="7" width="14.42578125" bestFit="1" customWidth="1"/>
    <col min="8" max="8" width="14.85546875" hidden="1" customWidth="1"/>
    <col min="9" max="9" width="14.42578125" bestFit="1" customWidth="1"/>
    <col min="10" max="10" width="13.85546875" hidden="1" customWidth="1"/>
    <col min="11" max="11" width="4.85546875" hidden="1" customWidth="1"/>
    <col min="12" max="12" width="10.7109375" hidden="1" customWidth="1"/>
    <col min="13" max="13" width="15.28515625" customWidth="1"/>
    <col min="14" max="14" width="12.85546875" hidden="1" customWidth="1"/>
    <col min="15" max="15" width="13.85546875" hidden="1" customWidth="1"/>
    <col min="16" max="16" width="12.85546875" bestFit="1" customWidth="1"/>
    <col min="17" max="18" width="9.140625" bestFit="1" customWidth="1"/>
    <col min="19" max="19" width="13.140625" customWidth="1"/>
    <col min="20" max="20" width="8.42578125" bestFit="1" customWidth="1"/>
    <col min="22" max="22" width="19" customWidth="1"/>
    <col min="23" max="23" width="23.140625" customWidth="1"/>
    <col min="24" max="24" width="13.42578125" customWidth="1"/>
  </cols>
  <sheetData>
    <row r="2" spans="1:24" ht="29.25" customHeight="1">
      <c r="A2" s="418"/>
      <c r="B2" s="418"/>
      <c r="C2" s="448" t="s">
        <v>376</v>
      </c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  <c r="V2" s="448"/>
      <c r="W2" s="448"/>
      <c r="X2" s="11"/>
    </row>
    <row r="3" spans="1:24" ht="26.25" customHeight="1">
      <c r="A3" s="418"/>
      <c r="B3" s="418"/>
      <c r="C3" s="448"/>
      <c r="D3" s="448"/>
      <c r="E3" s="448"/>
      <c r="F3" s="448"/>
      <c r="G3" s="448"/>
      <c r="H3" s="448"/>
      <c r="I3" s="448"/>
      <c r="J3" s="448"/>
      <c r="K3" s="448"/>
      <c r="L3" s="448"/>
      <c r="M3" s="448"/>
      <c r="N3" s="448"/>
      <c r="O3" s="448"/>
      <c r="P3" s="448"/>
      <c r="Q3" s="448"/>
      <c r="R3" s="448"/>
      <c r="S3" s="448"/>
      <c r="T3" s="448"/>
      <c r="U3" s="448"/>
      <c r="V3" s="448"/>
      <c r="W3" s="448"/>
      <c r="X3" s="11"/>
    </row>
    <row r="4" spans="1:24" ht="24" customHeight="1">
      <c r="A4" s="418"/>
      <c r="B4" s="418"/>
      <c r="C4" s="449" t="s">
        <v>377</v>
      </c>
      <c r="D4" s="449"/>
      <c r="E4" s="449"/>
      <c r="F4" s="449"/>
      <c r="G4" s="449"/>
      <c r="H4" s="449"/>
      <c r="I4" s="449"/>
      <c r="J4" s="449"/>
      <c r="K4" s="449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11"/>
    </row>
    <row r="5" spans="1:24" ht="38.25" customHeight="1">
      <c r="A5" s="418"/>
      <c r="B5" s="418"/>
      <c r="C5" s="450" t="s">
        <v>378</v>
      </c>
      <c r="D5" s="450"/>
      <c r="E5" s="450"/>
      <c r="F5" s="450"/>
      <c r="G5" s="450"/>
      <c r="H5" s="450"/>
      <c r="I5" s="450"/>
      <c r="J5" s="450"/>
      <c r="K5" s="450"/>
      <c r="L5" s="450"/>
      <c r="M5" s="450"/>
      <c r="N5" s="450"/>
      <c r="O5" s="450"/>
      <c r="P5" s="450"/>
      <c r="Q5" s="450"/>
      <c r="R5" s="450"/>
      <c r="S5" s="450"/>
      <c r="T5" s="450"/>
      <c r="U5" s="450"/>
      <c r="V5" s="450"/>
      <c r="W5" s="450"/>
      <c r="X5" s="11"/>
    </row>
    <row r="6" spans="1:24" ht="15.75" thickBot="1"/>
    <row r="7" spans="1:24" ht="20.100000000000001" customHeight="1">
      <c r="A7" s="451" t="s">
        <v>39</v>
      </c>
      <c r="B7" s="452"/>
      <c r="C7" s="174">
        <v>145882796</v>
      </c>
      <c r="D7" s="175"/>
      <c r="E7" s="343"/>
      <c r="J7" s="11"/>
      <c r="L7" s="11"/>
      <c r="M7" s="11"/>
      <c r="N7" s="11"/>
      <c r="O7" s="11"/>
      <c r="P7" s="11"/>
    </row>
    <row r="8" spans="1:24" ht="20.100000000000001" customHeight="1">
      <c r="A8" s="444" t="s">
        <v>379</v>
      </c>
      <c r="B8" s="445"/>
      <c r="C8" s="176">
        <f>G74</f>
        <v>125082993.08999999</v>
      </c>
      <c r="D8" s="175"/>
      <c r="E8" s="34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</row>
    <row r="9" spans="1:24" ht="20.100000000000001" customHeight="1">
      <c r="A9" s="444" t="s">
        <v>5</v>
      </c>
      <c r="B9" s="445"/>
      <c r="C9" s="176">
        <f>I74</f>
        <v>18578094.950000003</v>
      </c>
      <c r="D9" s="175"/>
      <c r="E9" s="343"/>
      <c r="F9" s="345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</row>
    <row r="10" spans="1:24" ht="20.100000000000001" customHeight="1" thickBot="1">
      <c r="A10" s="446" t="s">
        <v>12</v>
      </c>
      <c r="B10" s="447"/>
      <c r="C10" s="177">
        <f>C8-C9</f>
        <v>106504898.13999999</v>
      </c>
      <c r="E10" s="344"/>
      <c r="N10" s="178"/>
      <c r="O10" s="178"/>
      <c r="R10" s="11"/>
      <c r="V10" s="78"/>
      <c r="W10" s="179"/>
    </row>
    <row r="11" spans="1:24" ht="15" customHeight="1">
      <c r="A11" s="180"/>
      <c r="B11" s="180"/>
      <c r="N11" s="178"/>
      <c r="O11" s="178"/>
      <c r="R11" s="11"/>
      <c r="V11" s="78"/>
      <c r="W11" s="179"/>
    </row>
    <row r="12" spans="1:24" ht="19.5" thickBot="1">
      <c r="A12" t="s">
        <v>695</v>
      </c>
      <c r="O12" s="178"/>
      <c r="P12" s="178"/>
      <c r="S12" s="11"/>
      <c r="W12" s="78"/>
      <c r="X12" s="329" t="s">
        <v>681</v>
      </c>
    </row>
    <row r="13" spans="1:24" ht="16.5" thickTop="1" thickBot="1">
      <c r="A13" s="181"/>
      <c r="B13" s="181"/>
      <c r="C13" s="181"/>
      <c r="D13" s="181"/>
      <c r="E13" s="181"/>
      <c r="F13" s="181"/>
      <c r="G13" s="182" t="s">
        <v>13</v>
      </c>
      <c r="H13" s="183"/>
      <c r="I13" s="184" t="s">
        <v>14</v>
      </c>
      <c r="J13" s="183"/>
      <c r="K13" s="183"/>
      <c r="L13" s="185"/>
      <c r="M13" s="186" t="s">
        <v>15</v>
      </c>
      <c r="N13" s="187" t="s">
        <v>380</v>
      </c>
      <c r="O13" s="188" t="s">
        <v>381</v>
      </c>
      <c r="P13" s="189"/>
      <c r="Q13" s="190"/>
      <c r="R13" s="190"/>
      <c r="S13" s="190"/>
      <c r="T13" s="190"/>
      <c r="U13" s="190"/>
      <c r="V13" s="191"/>
      <c r="W13" s="190"/>
      <c r="X13" s="190"/>
    </row>
    <row r="14" spans="1:24" ht="24.75" customHeight="1" thickTop="1" thickBot="1">
      <c r="A14" s="192" t="s">
        <v>16</v>
      </c>
      <c r="B14" s="193" t="s">
        <v>17</v>
      </c>
      <c r="C14" s="193" t="s">
        <v>18</v>
      </c>
      <c r="D14" s="193" t="s">
        <v>642</v>
      </c>
      <c r="E14" s="193" t="s">
        <v>77</v>
      </c>
      <c r="F14" s="193" t="s">
        <v>21</v>
      </c>
      <c r="G14" s="194" t="s">
        <v>22</v>
      </c>
      <c r="H14" s="194" t="s">
        <v>382</v>
      </c>
      <c r="I14" s="194" t="s">
        <v>22</v>
      </c>
      <c r="J14" s="194" t="s">
        <v>382</v>
      </c>
      <c r="K14" s="194" t="s">
        <v>22</v>
      </c>
      <c r="L14" s="193" t="s">
        <v>382</v>
      </c>
      <c r="M14" s="194" t="s">
        <v>22</v>
      </c>
      <c r="N14" s="194" t="s">
        <v>383</v>
      </c>
      <c r="O14" s="194" t="s">
        <v>381</v>
      </c>
      <c r="P14" s="193" t="s">
        <v>24</v>
      </c>
      <c r="Q14" s="193" t="s">
        <v>384</v>
      </c>
      <c r="R14" s="193" t="s">
        <v>385</v>
      </c>
      <c r="S14" s="453" t="s">
        <v>27</v>
      </c>
      <c r="T14" s="454"/>
      <c r="U14" s="193" t="s">
        <v>28</v>
      </c>
      <c r="V14" s="193" t="s">
        <v>386</v>
      </c>
      <c r="W14" s="193" t="s">
        <v>30</v>
      </c>
      <c r="X14" s="195" t="s">
        <v>31</v>
      </c>
    </row>
    <row r="15" spans="1:24" s="32" customFormat="1" ht="98.25" customHeight="1">
      <c r="A15" s="196" t="s">
        <v>387</v>
      </c>
      <c r="B15" s="197">
        <v>43563</v>
      </c>
      <c r="C15" s="198" t="s">
        <v>388</v>
      </c>
      <c r="D15" s="330" t="s">
        <v>644</v>
      </c>
      <c r="E15" s="199" t="s">
        <v>389</v>
      </c>
      <c r="F15" s="200" t="s">
        <v>390</v>
      </c>
      <c r="G15" s="201">
        <f t="shared" ref="G15:G72" si="0">H15</f>
        <v>3427109.73</v>
      </c>
      <c r="H15" s="202">
        <v>3427109.73</v>
      </c>
      <c r="I15" s="201">
        <f t="shared" ref="I15:I72" si="1">J15</f>
        <v>744931.13</v>
      </c>
      <c r="J15" s="201">
        <v>744931.13</v>
      </c>
      <c r="K15" s="201">
        <v>0</v>
      </c>
      <c r="L15" s="203">
        <v>0</v>
      </c>
      <c r="M15" s="204">
        <f t="shared" ref="M15:M72" si="2">G15-I15</f>
        <v>2682178.6</v>
      </c>
      <c r="N15" s="205">
        <v>0</v>
      </c>
      <c r="O15" s="205">
        <f t="shared" ref="O15:O72" si="3">I15+N15</f>
        <v>744931.13</v>
      </c>
      <c r="P15" s="206" t="s">
        <v>391</v>
      </c>
      <c r="Q15" s="207">
        <f t="shared" ref="Q15:Q72" si="4">I15/G15</f>
        <v>0.21736424821156805</v>
      </c>
      <c r="R15" s="207">
        <v>0.08</v>
      </c>
      <c r="S15" s="208" t="s">
        <v>392</v>
      </c>
      <c r="T15" s="209">
        <v>1472.05</v>
      </c>
      <c r="U15" s="210" t="s">
        <v>393</v>
      </c>
      <c r="V15" s="198" t="s">
        <v>696</v>
      </c>
      <c r="W15" s="198" t="s">
        <v>669</v>
      </c>
      <c r="X15" s="198" t="s">
        <v>697</v>
      </c>
    </row>
    <row r="16" spans="1:24" s="32" customFormat="1" ht="98.25" customHeight="1">
      <c r="A16" s="196" t="s">
        <v>387</v>
      </c>
      <c r="B16" s="197">
        <v>43560</v>
      </c>
      <c r="C16" s="198" t="s">
        <v>394</v>
      </c>
      <c r="D16" s="330"/>
      <c r="E16" s="199" t="s">
        <v>395</v>
      </c>
      <c r="F16" s="200" t="s">
        <v>396</v>
      </c>
      <c r="G16" s="201">
        <f t="shared" si="0"/>
        <v>2919435.71</v>
      </c>
      <c r="H16" s="202">
        <v>2919435.71</v>
      </c>
      <c r="I16" s="201">
        <f t="shared" si="1"/>
        <v>0</v>
      </c>
      <c r="J16" s="201">
        <v>0</v>
      </c>
      <c r="K16" s="201">
        <v>0</v>
      </c>
      <c r="L16" s="203">
        <v>0</v>
      </c>
      <c r="M16" s="211">
        <f>G16-I16-N16</f>
        <v>2919435.71</v>
      </c>
      <c r="N16" s="211">
        <v>0</v>
      </c>
      <c r="O16" s="212">
        <f t="shared" si="3"/>
        <v>0</v>
      </c>
      <c r="P16" s="206" t="s">
        <v>391</v>
      </c>
      <c r="Q16" s="207">
        <f t="shared" si="4"/>
        <v>0</v>
      </c>
      <c r="R16" s="207">
        <v>0</v>
      </c>
      <c r="S16" s="208" t="s">
        <v>392</v>
      </c>
      <c r="T16" s="209">
        <v>1298.6400000000001</v>
      </c>
      <c r="U16" s="210" t="s">
        <v>397</v>
      </c>
      <c r="V16" s="198"/>
      <c r="W16" s="198"/>
      <c r="X16" s="198"/>
    </row>
    <row r="17" spans="1:24" s="32" customFormat="1" ht="98.25" customHeight="1">
      <c r="A17" s="196" t="s">
        <v>387</v>
      </c>
      <c r="B17" s="197">
        <v>43560</v>
      </c>
      <c r="C17" s="198" t="s">
        <v>398</v>
      </c>
      <c r="D17" s="330" t="s">
        <v>644</v>
      </c>
      <c r="E17" s="199" t="s">
        <v>399</v>
      </c>
      <c r="F17" s="200" t="s">
        <v>400</v>
      </c>
      <c r="G17" s="201">
        <f t="shared" si="0"/>
        <v>3867151.16</v>
      </c>
      <c r="H17" s="202">
        <v>3867151.16</v>
      </c>
      <c r="I17" s="201">
        <f t="shared" si="1"/>
        <v>841210.22</v>
      </c>
      <c r="J17" s="201">
        <v>841210.22</v>
      </c>
      <c r="K17" s="201">
        <v>0</v>
      </c>
      <c r="L17" s="203">
        <v>0</v>
      </c>
      <c r="M17" s="211">
        <f>G17-I17-N17</f>
        <v>3025940.9400000004</v>
      </c>
      <c r="N17" s="211">
        <v>0</v>
      </c>
      <c r="O17" s="212">
        <f t="shared" si="3"/>
        <v>841210.22</v>
      </c>
      <c r="P17" s="206" t="s">
        <v>391</v>
      </c>
      <c r="Q17" s="207">
        <f t="shared" si="4"/>
        <v>0.21752711109435918</v>
      </c>
      <c r="R17" s="207">
        <v>0.09</v>
      </c>
      <c r="S17" s="208" t="s">
        <v>392</v>
      </c>
      <c r="T17" s="209">
        <v>1700.86</v>
      </c>
      <c r="U17" s="210" t="s">
        <v>401</v>
      </c>
      <c r="V17" s="198" t="s">
        <v>696</v>
      </c>
      <c r="W17" s="198" t="s">
        <v>698</v>
      </c>
      <c r="X17" s="198" t="s">
        <v>699</v>
      </c>
    </row>
    <row r="18" spans="1:24" s="32" customFormat="1" ht="98.25" customHeight="1">
      <c r="A18" s="196" t="s">
        <v>387</v>
      </c>
      <c r="B18" s="197">
        <v>43560</v>
      </c>
      <c r="C18" s="198" t="s">
        <v>402</v>
      </c>
      <c r="D18" s="330" t="s">
        <v>700</v>
      </c>
      <c r="E18" s="199" t="s">
        <v>403</v>
      </c>
      <c r="F18" s="200" t="s">
        <v>404</v>
      </c>
      <c r="G18" s="201">
        <f t="shared" si="0"/>
        <v>2681549.75</v>
      </c>
      <c r="H18" s="202">
        <v>2681549.75</v>
      </c>
      <c r="I18" s="201">
        <f t="shared" si="1"/>
        <v>562799.98</v>
      </c>
      <c r="J18" s="201">
        <v>562799.98</v>
      </c>
      <c r="K18" s="201">
        <v>0</v>
      </c>
      <c r="L18" s="203">
        <v>0</v>
      </c>
      <c r="M18" s="211">
        <f t="shared" si="2"/>
        <v>2118749.77</v>
      </c>
      <c r="N18" s="213">
        <v>0</v>
      </c>
      <c r="O18" s="214">
        <f t="shared" si="3"/>
        <v>562799.98</v>
      </c>
      <c r="P18" s="206" t="s">
        <v>391</v>
      </c>
      <c r="Q18" s="207">
        <f t="shared" si="4"/>
        <v>0.20987862708868257</v>
      </c>
      <c r="R18" s="207">
        <v>0.25</v>
      </c>
      <c r="S18" s="208" t="s">
        <v>392</v>
      </c>
      <c r="T18" s="209">
        <v>1172.48</v>
      </c>
      <c r="U18" s="210" t="s">
        <v>405</v>
      </c>
      <c r="V18" s="198" t="s">
        <v>696</v>
      </c>
      <c r="W18" s="198" t="s">
        <v>701</v>
      </c>
      <c r="X18" s="198" t="s">
        <v>702</v>
      </c>
    </row>
    <row r="19" spans="1:24" s="32" customFormat="1" ht="98.25" customHeight="1">
      <c r="A19" s="196" t="s">
        <v>387</v>
      </c>
      <c r="B19" s="197">
        <v>43560</v>
      </c>
      <c r="C19" s="198" t="s">
        <v>406</v>
      </c>
      <c r="D19" s="330"/>
      <c r="E19" s="199" t="s">
        <v>407</v>
      </c>
      <c r="F19" s="200" t="s">
        <v>408</v>
      </c>
      <c r="G19" s="201">
        <f t="shared" si="0"/>
        <v>2648289.71</v>
      </c>
      <c r="H19" s="202">
        <v>2648289.71</v>
      </c>
      <c r="I19" s="201">
        <f t="shared" si="1"/>
        <v>0</v>
      </c>
      <c r="J19" s="201">
        <v>0</v>
      </c>
      <c r="K19" s="201">
        <v>0</v>
      </c>
      <c r="L19" s="203">
        <v>0</v>
      </c>
      <c r="M19" s="211">
        <f t="shared" si="2"/>
        <v>2648289.71</v>
      </c>
      <c r="N19" s="213">
        <v>0</v>
      </c>
      <c r="O19" s="214">
        <f t="shared" si="3"/>
        <v>0</v>
      </c>
      <c r="P19" s="206" t="s">
        <v>391</v>
      </c>
      <c r="Q19" s="207">
        <f t="shared" si="4"/>
        <v>0</v>
      </c>
      <c r="R19" s="207">
        <v>0</v>
      </c>
      <c r="S19" s="208" t="s">
        <v>392</v>
      </c>
      <c r="T19" s="209">
        <v>1138.03</v>
      </c>
      <c r="U19" s="210" t="s">
        <v>409</v>
      </c>
      <c r="V19" s="198"/>
      <c r="W19" s="198"/>
      <c r="X19" s="198"/>
    </row>
    <row r="20" spans="1:24" s="32" customFormat="1" ht="98.25" customHeight="1">
      <c r="A20" s="196" t="s">
        <v>387</v>
      </c>
      <c r="B20" s="197">
        <v>43563</v>
      </c>
      <c r="C20" s="198" t="s">
        <v>410</v>
      </c>
      <c r="D20" s="330" t="s">
        <v>644</v>
      </c>
      <c r="E20" s="199" t="s">
        <v>411</v>
      </c>
      <c r="F20" s="200" t="s">
        <v>412</v>
      </c>
      <c r="G20" s="201">
        <f t="shared" si="0"/>
        <v>2032250.68</v>
      </c>
      <c r="H20" s="202">
        <v>2032250.68</v>
      </c>
      <c r="I20" s="201">
        <f t="shared" si="1"/>
        <v>0</v>
      </c>
      <c r="J20" s="201">
        <v>0</v>
      </c>
      <c r="K20" s="201">
        <v>0</v>
      </c>
      <c r="L20" s="203">
        <v>0</v>
      </c>
      <c r="M20" s="211">
        <f t="shared" si="2"/>
        <v>2032250.68</v>
      </c>
      <c r="N20" s="205">
        <v>0</v>
      </c>
      <c r="O20" s="215">
        <f t="shared" si="3"/>
        <v>0</v>
      </c>
      <c r="P20" s="206" t="s">
        <v>391</v>
      </c>
      <c r="Q20" s="207">
        <f t="shared" si="4"/>
        <v>0</v>
      </c>
      <c r="R20" s="207">
        <v>0</v>
      </c>
      <c r="S20" s="208" t="s">
        <v>392</v>
      </c>
      <c r="T20" s="209">
        <v>858.34</v>
      </c>
      <c r="U20" s="210" t="s">
        <v>413</v>
      </c>
      <c r="V20" s="198"/>
      <c r="W20" s="198"/>
      <c r="X20" s="198"/>
    </row>
    <row r="21" spans="1:24" s="32" customFormat="1" ht="98.25" customHeight="1">
      <c r="A21" s="196" t="s">
        <v>387</v>
      </c>
      <c r="B21" s="197">
        <v>43563</v>
      </c>
      <c r="C21" s="198" t="s">
        <v>414</v>
      </c>
      <c r="D21" s="330" t="s">
        <v>703</v>
      </c>
      <c r="E21" s="199" t="s">
        <v>415</v>
      </c>
      <c r="F21" s="200" t="s">
        <v>416</v>
      </c>
      <c r="G21" s="201">
        <f t="shared" si="0"/>
        <v>1069406.8700000001</v>
      </c>
      <c r="H21" s="202">
        <v>1069406.8700000001</v>
      </c>
      <c r="I21" s="201">
        <f t="shared" si="1"/>
        <v>0</v>
      </c>
      <c r="J21" s="201">
        <v>0</v>
      </c>
      <c r="K21" s="201">
        <v>0</v>
      </c>
      <c r="L21" s="203">
        <v>0</v>
      </c>
      <c r="M21" s="211">
        <f t="shared" si="2"/>
        <v>1069406.8700000001</v>
      </c>
      <c r="N21" s="205">
        <v>0</v>
      </c>
      <c r="O21" s="205">
        <f t="shared" si="3"/>
        <v>0</v>
      </c>
      <c r="P21" s="206" t="s">
        <v>391</v>
      </c>
      <c r="Q21" s="207">
        <f t="shared" si="4"/>
        <v>0</v>
      </c>
      <c r="R21" s="207">
        <v>0</v>
      </c>
      <c r="S21" s="208" t="s">
        <v>392</v>
      </c>
      <c r="T21" s="209">
        <v>292.8</v>
      </c>
      <c r="U21" s="210" t="s">
        <v>417</v>
      </c>
      <c r="V21" s="198"/>
      <c r="W21" s="198"/>
      <c r="X21" s="198"/>
    </row>
    <row r="22" spans="1:24" s="32" customFormat="1" ht="98.25" customHeight="1">
      <c r="A22" s="196" t="s">
        <v>387</v>
      </c>
      <c r="B22" s="197">
        <v>43563</v>
      </c>
      <c r="C22" s="198" t="s">
        <v>418</v>
      </c>
      <c r="D22" s="330"/>
      <c r="E22" s="199" t="s">
        <v>419</v>
      </c>
      <c r="F22" s="200" t="s">
        <v>420</v>
      </c>
      <c r="G22" s="201">
        <f t="shared" si="0"/>
        <v>887884.83</v>
      </c>
      <c r="H22" s="202">
        <v>887884.83</v>
      </c>
      <c r="I22" s="201">
        <f t="shared" si="1"/>
        <v>251783.8</v>
      </c>
      <c r="J22" s="201">
        <v>251783.8</v>
      </c>
      <c r="K22" s="201">
        <v>0</v>
      </c>
      <c r="L22" s="203">
        <v>0</v>
      </c>
      <c r="M22" s="211">
        <f t="shared" si="2"/>
        <v>636101.03</v>
      </c>
      <c r="N22" s="205">
        <v>0</v>
      </c>
      <c r="O22" s="205">
        <f t="shared" si="3"/>
        <v>251783.8</v>
      </c>
      <c r="P22" s="206" t="s">
        <v>391</v>
      </c>
      <c r="Q22" s="207">
        <f t="shared" si="4"/>
        <v>0.28357709411478516</v>
      </c>
      <c r="R22" s="207">
        <v>1</v>
      </c>
      <c r="S22" s="208" t="s">
        <v>392</v>
      </c>
      <c r="T22" s="209">
        <v>389.15</v>
      </c>
      <c r="U22" s="210" t="s">
        <v>417</v>
      </c>
      <c r="V22" s="198" t="s">
        <v>704</v>
      </c>
      <c r="W22" s="198" t="s">
        <v>705</v>
      </c>
      <c r="X22" s="198" t="s">
        <v>706</v>
      </c>
    </row>
    <row r="23" spans="1:24" s="32" customFormat="1" ht="98.25" customHeight="1">
      <c r="A23" s="196" t="s">
        <v>250</v>
      </c>
      <c r="B23" s="197">
        <v>43563</v>
      </c>
      <c r="C23" s="198" t="s">
        <v>421</v>
      </c>
      <c r="D23" s="330" t="s">
        <v>644</v>
      </c>
      <c r="E23" s="199" t="s">
        <v>422</v>
      </c>
      <c r="F23" s="200" t="s">
        <v>423</v>
      </c>
      <c r="G23" s="201">
        <f t="shared" si="0"/>
        <v>2082453.92</v>
      </c>
      <c r="H23" s="202">
        <v>2082453.92</v>
      </c>
      <c r="I23" s="201">
        <f t="shared" si="1"/>
        <v>599493.61</v>
      </c>
      <c r="J23" s="201">
        <v>599493.61</v>
      </c>
      <c r="K23" s="201">
        <v>0</v>
      </c>
      <c r="L23" s="203">
        <v>0</v>
      </c>
      <c r="M23" s="211">
        <f t="shared" si="2"/>
        <v>1482960.31</v>
      </c>
      <c r="N23" s="205">
        <v>0</v>
      </c>
      <c r="O23" s="205">
        <f t="shared" si="3"/>
        <v>599493.61</v>
      </c>
      <c r="P23" s="206" t="s">
        <v>391</v>
      </c>
      <c r="Q23" s="207">
        <f t="shared" si="4"/>
        <v>0.28787845159138026</v>
      </c>
      <c r="R23" s="207">
        <v>0.4</v>
      </c>
      <c r="S23" s="208" t="s">
        <v>86</v>
      </c>
      <c r="T23" s="209">
        <v>803.47</v>
      </c>
      <c r="U23" s="210" t="s">
        <v>424</v>
      </c>
      <c r="V23" s="198" t="s">
        <v>618</v>
      </c>
      <c r="W23" s="198" t="s">
        <v>619</v>
      </c>
      <c r="X23" s="198" t="s">
        <v>620</v>
      </c>
    </row>
    <row r="24" spans="1:24" s="32" customFormat="1" ht="98.25" customHeight="1">
      <c r="A24" s="196" t="s">
        <v>250</v>
      </c>
      <c r="B24" s="94">
        <v>43563</v>
      </c>
      <c r="C24" s="198" t="s">
        <v>425</v>
      </c>
      <c r="D24" s="330" t="s">
        <v>644</v>
      </c>
      <c r="E24" s="199" t="s">
        <v>426</v>
      </c>
      <c r="F24" s="200" t="s">
        <v>427</v>
      </c>
      <c r="G24" s="201">
        <f t="shared" si="0"/>
        <v>2879900.47</v>
      </c>
      <c r="H24" s="216">
        <v>2879900.47</v>
      </c>
      <c r="I24" s="201">
        <f t="shared" si="1"/>
        <v>840301.48</v>
      </c>
      <c r="J24" s="99">
        <v>840301.48</v>
      </c>
      <c r="K24" s="201">
        <v>0</v>
      </c>
      <c r="L24" s="203">
        <v>0</v>
      </c>
      <c r="M24" s="211">
        <f t="shared" si="2"/>
        <v>2039598.9900000002</v>
      </c>
      <c r="N24" s="205">
        <v>0</v>
      </c>
      <c r="O24" s="205">
        <f t="shared" si="3"/>
        <v>840301.48</v>
      </c>
      <c r="P24" s="206" t="s">
        <v>391</v>
      </c>
      <c r="Q24" s="207">
        <f t="shared" si="4"/>
        <v>0.29178143090479786</v>
      </c>
      <c r="R24" s="217">
        <v>0.33</v>
      </c>
      <c r="S24" s="208" t="s">
        <v>86</v>
      </c>
      <c r="T24" s="209">
        <v>1875.62</v>
      </c>
      <c r="U24" s="210" t="s">
        <v>428</v>
      </c>
      <c r="V24" s="198" t="s">
        <v>618</v>
      </c>
      <c r="W24" s="198" t="s">
        <v>705</v>
      </c>
      <c r="X24" s="198" t="s">
        <v>621</v>
      </c>
    </row>
    <row r="25" spans="1:24" s="32" customFormat="1" ht="98.25" customHeight="1">
      <c r="A25" s="196" t="s">
        <v>250</v>
      </c>
      <c r="B25" s="94">
        <v>43563</v>
      </c>
      <c r="C25" s="198" t="s">
        <v>429</v>
      </c>
      <c r="D25" s="330" t="s">
        <v>644</v>
      </c>
      <c r="E25" s="199" t="s">
        <v>430</v>
      </c>
      <c r="F25" s="200" t="s">
        <v>431</v>
      </c>
      <c r="G25" s="201">
        <f t="shared" si="0"/>
        <v>1196924.04</v>
      </c>
      <c r="H25" s="216">
        <v>1196924.04</v>
      </c>
      <c r="I25" s="201">
        <f t="shared" si="1"/>
        <v>350985.17</v>
      </c>
      <c r="J25" s="99">
        <v>350985.17</v>
      </c>
      <c r="K25" s="201">
        <v>0</v>
      </c>
      <c r="L25" s="203">
        <v>0</v>
      </c>
      <c r="M25" s="211">
        <f t="shared" si="2"/>
        <v>845938.87000000011</v>
      </c>
      <c r="N25" s="205">
        <v>0</v>
      </c>
      <c r="O25" s="205">
        <f t="shared" si="3"/>
        <v>350985.17</v>
      </c>
      <c r="P25" s="206" t="s">
        <v>391</v>
      </c>
      <c r="Q25" s="207">
        <f t="shared" si="4"/>
        <v>0.29323930196940484</v>
      </c>
      <c r="R25" s="217">
        <v>0.47</v>
      </c>
      <c r="S25" s="208" t="s">
        <v>86</v>
      </c>
      <c r="T25" s="209">
        <v>1030.97</v>
      </c>
      <c r="U25" s="210" t="s">
        <v>424</v>
      </c>
      <c r="V25" s="198" t="s">
        <v>618</v>
      </c>
      <c r="W25" s="198" t="s">
        <v>707</v>
      </c>
      <c r="X25" s="198" t="s">
        <v>622</v>
      </c>
    </row>
    <row r="26" spans="1:24" s="32" customFormat="1" ht="98.25" customHeight="1">
      <c r="A26" s="196" t="s">
        <v>250</v>
      </c>
      <c r="B26" s="94">
        <v>43563</v>
      </c>
      <c r="C26" s="198" t="s">
        <v>432</v>
      </c>
      <c r="D26" s="330" t="s">
        <v>644</v>
      </c>
      <c r="E26" s="199" t="s">
        <v>433</v>
      </c>
      <c r="F26" s="200" t="s">
        <v>434</v>
      </c>
      <c r="G26" s="201">
        <f t="shared" si="0"/>
        <v>1097153.53</v>
      </c>
      <c r="H26" s="216">
        <v>1097153.53</v>
      </c>
      <c r="I26" s="201">
        <f t="shared" si="1"/>
        <v>320748.51</v>
      </c>
      <c r="J26" s="99">
        <v>320748.51</v>
      </c>
      <c r="K26" s="201">
        <v>0</v>
      </c>
      <c r="L26" s="203">
        <v>0</v>
      </c>
      <c r="M26" s="211">
        <f t="shared" si="2"/>
        <v>776405.02</v>
      </c>
      <c r="N26" s="205">
        <v>0</v>
      </c>
      <c r="O26" s="205">
        <f t="shared" si="3"/>
        <v>320748.51</v>
      </c>
      <c r="P26" s="206" t="s">
        <v>391</v>
      </c>
      <c r="Q26" s="207">
        <f t="shared" si="4"/>
        <v>0.29234605844088202</v>
      </c>
      <c r="R26" s="217">
        <v>0.42</v>
      </c>
      <c r="S26" s="208" t="s">
        <v>86</v>
      </c>
      <c r="T26" s="209">
        <v>1024.3599999999999</v>
      </c>
      <c r="U26" s="210" t="s">
        <v>424</v>
      </c>
      <c r="V26" s="198" t="s">
        <v>618</v>
      </c>
      <c r="W26" s="198" t="s">
        <v>708</v>
      </c>
      <c r="X26" s="198" t="s">
        <v>623</v>
      </c>
    </row>
    <row r="27" spans="1:24" s="32" customFormat="1" ht="98.25" customHeight="1">
      <c r="A27" s="196" t="s">
        <v>387</v>
      </c>
      <c r="B27" s="94">
        <v>43560</v>
      </c>
      <c r="C27" s="198" t="s">
        <v>435</v>
      </c>
      <c r="D27" s="330" t="s">
        <v>644</v>
      </c>
      <c r="E27" s="199" t="s">
        <v>436</v>
      </c>
      <c r="F27" s="200" t="s">
        <v>437</v>
      </c>
      <c r="G27" s="201">
        <f t="shared" si="0"/>
        <v>3799132.96</v>
      </c>
      <c r="H27" s="216">
        <v>3799132.96</v>
      </c>
      <c r="I27" s="201">
        <f t="shared" si="1"/>
        <v>854921.65</v>
      </c>
      <c r="J27" s="99">
        <v>854921.65</v>
      </c>
      <c r="K27" s="201">
        <v>0</v>
      </c>
      <c r="L27" s="203">
        <v>0</v>
      </c>
      <c r="M27" s="211">
        <f t="shared" si="2"/>
        <v>2944211.31</v>
      </c>
      <c r="N27" s="205">
        <v>0</v>
      </c>
      <c r="O27" s="205">
        <f t="shared" si="3"/>
        <v>854921.65</v>
      </c>
      <c r="P27" s="206" t="s">
        <v>391</v>
      </c>
      <c r="Q27" s="207">
        <f t="shared" si="4"/>
        <v>0.22503072648449768</v>
      </c>
      <c r="R27" s="217">
        <v>0.09</v>
      </c>
      <c r="S27" s="208" t="s">
        <v>392</v>
      </c>
      <c r="T27" s="209">
        <v>100.88</v>
      </c>
      <c r="U27" s="210" t="s">
        <v>438</v>
      </c>
      <c r="V27" s="198" t="s">
        <v>696</v>
      </c>
      <c r="W27" s="198" t="s">
        <v>709</v>
      </c>
      <c r="X27" s="198" t="s">
        <v>710</v>
      </c>
    </row>
    <row r="28" spans="1:24" s="32" customFormat="1" ht="98.25" customHeight="1">
      <c r="A28" s="196" t="s">
        <v>387</v>
      </c>
      <c r="B28" s="94">
        <v>43560</v>
      </c>
      <c r="C28" s="198" t="s">
        <v>439</v>
      </c>
      <c r="D28" s="330" t="s">
        <v>644</v>
      </c>
      <c r="E28" s="199" t="s">
        <v>440</v>
      </c>
      <c r="F28" s="200" t="s">
        <v>441</v>
      </c>
      <c r="G28" s="201">
        <f t="shared" si="0"/>
        <v>863045.25</v>
      </c>
      <c r="H28" s="216">
        <v>863045.25</v>
      </c>
      <c r="I28" s="201">
        <f t="shared" si="1"/>
        <v>250524.78</v>
      </c>
      <c r="J28" s="99">
        <v>250524.78</v>
      </c>
      <c r="K28" s="201">
        <v>0</v>
      </c>
      <c r="L28" s="203">
        <v>0</v>
      </c>
      <c r="M28" s="211">
        <f t="shared" si="2"/>
        <v>612520.47</v>
      </c>
      <c r="N28" s="205">
        <v>0</v>
      </c>
      <c r="O28" s="205">
        <f t="shared" si="3"/>
        <v>250524.78</v>
      </c>
      <c r="P28" s="206" t="s">
        <v>391</v>
      </c>
      <c r="Q28" s="207">
        <f t="shared" si="4"/>
        <v>0.29028000559646205</v>
      </c>
      <c r="R28" s="217">
        <v>0.5</v>
      </c>
      <c r="S28" s="208" t="s">
        <v>392</v>
      </c>
      <c r="T28" s="209">
        <v>186.5</v>
      </c>
      <c r="U28" s="210" t="s">
        <v>442</v>
      </c>
      <c r="V28" s="198" t="s">
        <v>704</v>
      </c>
      <c r="W28" s="198" t="s">
        <v>711</v>
      </c>
      <c r="X28" s="198" t="s">
        <v>712</v>
      </c>
    </row>
    <row r="29" spans="1:24" s="32" customFormat="1" ht="98.25" customHeight="1">
      <c r="A29" s="196" t="s">
        <v>250</v>
      </c>
      <c r="B29" s="94">
        <v>43564</v>
      </c>
      <c r="C29" s="198" t="s">
        <v>443</v>
      </c>
      <c r="D29" s="330" t="s">
        <v>644</v>
      </c>
      <c r="E29" s="199" t="s">
        <v>444</v>
      </c>
      <c r="F29" s="200" t="s">
        <v>445</v>
      </c>
      <c r="G29" s="201">
        <f t="shared" si="0"/>
        <v>2668966.71</v>
      </c>
      <c r="H29" s="216">
        <v>2668966.71</v>
      </c>
      <c r="I29" s="201">
        <f t="shared" si="1"/>
        <v>781754.29</v>
      </c>
      <c r="J29" s="99">
        <v>781754.29</v>
      </c>
      <c r="K29" s="201">
        <v>0</v>
      </c>
      <c r="L29" s="203">
        <v>0</v>
      </c>
      <c r="M29" s="211">
        <f t="shared" si="2"/>
        <v>1887212.42</v>
      </c>
      <c r="N29" s="205">
        <v>0</v>
      </c>
      <c r="O29" s="205">
        <f t="shared" si="3"/>
        <v>781754.29</v>
      </c>
      <c r="P29" s="206" t="s">
        <v>391</v>
      </c>
      <c r="Q29" s="207">
        <f t="shared" si="4"/>
        <v>0.29290522323524976</v>
      </c>
      <c r="R29" s="217">
        <v>0.15</v>
      </c>
      <c r="S29" s="208" t="s">
        <v>86</v>
      </c>
      <c r="T29" s="209">
        <v>976.48</v>
      </c>
      <c r="U29" s="210" t="s">
        <v>424</v>
      </c>
      <c r="V29" s="198" t="s">
        <v>713</v>
      </c>
      <c r="W29" s="198" t="s">
        <v>714</v>
      </c>
      <c r="X29" s="198" t="s">
        <v>715</v>
      </c>
    </row>
    <row r="30" spans="1:24" s="32" customFormat="1" ht="98.25" customHeight="1">
      <c r="A30" s="196" t="s">
        <v>549</v>
      </c>
      <c r="B30" s="94">
        <v>43605</v>
      </c>
      <c r="C30" s="198" t="s">
        <v>550</v>
      </c>
      <c r="D30" s="330"/>
      <c r="E30" s="199" t="s">
        <v>551</v>
      </c>
      <c r="F30" s="200" t="s">
        <v>552</v>
      </c>
      <c r="G30" s="201">
        <f t="shared" si="0"/>
        <v>1178699.68</v>
      </c>
      <c r="H30" s="216">
        <v>1178699.68</v>
      </c>
      <c r="I30" s="201">
        <f t="shared" si="1"/>
        <v>0</v>
      </c>
      <c r="J30" s="99">
        <v>0</v>
      </c>
      <c r="K30" s="201">
        <v>0</v>
      </c>
      <c r="L30" s="203">
        <v>0</v>
      </c>
      <c r="M30" s="211">
        <f t="shared" si="2"/>
        <v>1178699.68</v>
      </c>
      <c r="N30" s="205">
        <v>0</v>
      </c>
      <c r="O30" s="205">
        <f t="shared" si="3"/>
        <v>0</v>
      </c>
      <c r="P30" s="206" t="s">
        <v>391</v>
      </c>
      <c r="Q30" s="207">
        <f t="shared" si="4"/>
        <v>0</v>
      </c>
      <c r="R30" s="217">
        <v>0</v>
      </c>
      <c r="S30" s="208" t="s">
        <v>32</v>
      </c>
      <c r="T30" s="209">
        <v>1</v>
      </c>
      <c r="U30" s="210" t="s">
        <v>610</v>
      </c>
      <c r="V30" s="198"/>
      <c r="W30" s="198"/>
      <c r="X30" s="198"/>
    </row>
    <row r="31" spans="1:24" s="32" customFormat="1" ht="98.25" customHeight="1">
      <c r="A31" s="196" t="s">
        <v>549</v>
      </c>
      <c r="B31" s="94">
        <v>43605</v>
      </c>
      <c r="C31" s="198" t="s">
        <v>553</v>
      </c>
      <c r="D31" s="330"/>
      <c r="E31" s="199" t="s">
        <v>554</v>
      </c>
      <c r="F31" s="200" t="s">
        <v>555</v>
      </c>
      <c r="G31" s="201">
        <f t="shared" si="0"/>
        <v>1722584.19</v>
      </c>
      <c r="H31" s="216">
        <v>1722584.19</v>
      </c>
      <c r="I31" s="201">
        <f t="shared" si="1"/>
        <v>0</v>
      </c>
      <c r="J31" s="99">
        <v>0</v>
      </c>
      <c r="K31" s="201">
        <v>0</v>
      </c>
      <c r="L31" s="203">
        <v>0</v>
      </c>
      <c r="M31" s="211">
        <f t="shared" si="2"/>
        <v>1722584.19</v>
      </c>
      <c r="N31" s="205">
        <v>0</v>
      </c>
      <c r="O31" s="205">
        <f t="shared" si="3"/>
        <v>0</v>
      </c>
      <c r="P31" s="206" t="s">
        <v>391</v>
      </c>
      <c r="Q31" s="207">
        <f t="shared" si="4"/>
        <v>0</v>
      </c>
      <c r="R31" s="217">
        <v>0</v>
      </c>
      <c r="S31" s="208" t="s">
        <v>32</v>
      </c>
      <c r="T31" s="209">
        <v>1</v>
      </c>
      <c r="U31" s="210" t="s">
        <v>610</v>
      </c>
      <c r="V31" s="198"/>
      <c r="W31" s="198"/>
      <c r="X31" s="198"/>
    </row>
    <row r="32" spans="1:24" s="32" customFormat="1" ht="98.25" customHeight="1">
      <c r="A32" s="196" t="s">
        <v>549</v>
      </c>
      <c r="B32" s="94">
        <v>43605</v>
      </c>
      <c r="C32" s="198" t="s">
        <v>556</v>
      </c>
      <c r="D32" s="330"/>
      <c r="E32" s="199" t="s">
        <v>557</v>
      </c>
      <c r="F32" s="200" t="s">
        <v>558</v>
      </c>
      <c r="G32" s="201">
        <f t="shared" si="0"/>
        <v>1848284.4</v>
      </c>
      <c r="H32" s="216">
        <v>1848284.4</v>
      </c>
      <c r="I32" s="201">
        <f t="shared" si="1"/>
        <v>0</v>
      </c>
      <c r="J32" s="99">
        <v>0</v>
      </c>
      <c r="K32" s="201">
        <v>0</v>
      </c>
      <c r="L32" s="203">
        <v>0</v>
      </c>
      <c r="M32" s="211">
        <f t="shared" si="2"/>
        <v>1848284.4</v>
      </c>
      <c r="N32" s="205">
        <v>0</v>
      </c>
      <c r="O32" s="205">
        <f t="shared" si="3"/>
        <v>0</v>
      </c>
      <c r="P32" s="206" t="s">
        <v>391</v>
      </c>
      <c r="Q32" s="207">
        <f t="shared" si="4"/>
        <v>0</v>
      </c>
      <c r="R32" s="217">
        <v>0</v>
      </c>
      <c r="S32" s="208" t="s">
        <v>32</v>
      </c>
      <c r="T32" s="209">
        <v>1</v>
      </c>
      <c r="U32" s="210" t="s">
        <v>610</v>
      </c>
      <c r="V32" s="198"/>
      <c r="W32" s="198"/>
      <c r="X32" s="198"/>
    </row>
    <row r="33" spans="1:24" s="32" customFormat="1" ht="98.25" customHeight="1">
      <c r="A33" s="196" t="s">
        <v>549</v>
      </c>
      <c r="B33" s="94">
        <v>43605</v>
      </c>
      <c r="C33" s="198" t="s">
        <v>559</v>
      </c>
      <c r="D33" s="330"/>
      <c r="E33" s="199" t="s">
        <v>560</v>
      </c>
      <c r="F33" s="200" t="s">
        <v>561</v>
      </c>
      <c r="G33" s="201">
        <f t="shared" si="0"/>
        <v>975112.56</v>
      </c>
      <c r="H33" s="216">
        <v>975112.56</v>
      </c>
      <c r="I33" s="201">
        <f t="shared" si="1"/>
        <v>0</v>
      </c>
      <c r="J33" s="99">
        <v>0</v>
      </c>
      <c r="K33" s="201">
        <v>0</v>
      </c>
      <c r="L33" s="203">
        <v>0</v>
      </c>
      <c r="M33" s="211">
        <f t="shared" si="2"/>
        <v>975112.56</v>
      </c>
      <c r="N33" s="205">
        <v>0</v>
      </c>
      <c r="O33" s="205">
        <f t="shared" si="3"/>
        <v>0</v>
      </c>
      <c r="P33" s="206" t="s">
        <v>391</v>
      </c>
      <c r="Q33" s="207">
        <f t="shared" si="4"/>
        <v>0</v>
      </c>
      <c r="R33" s="217">
        <v>0</v>
      </c>
      <c r="S33" s="208" t="s">
        <v>32</v>
      </c>
      <c r="T33" s="209">
        <v>1</v>
      </c>
      <c r="U33" s="210" t="s">
        <v>610</v>
      </c>
      <c r="V33" s="198"/>
      <c r="W33" s="198"/>
      <c r="X33" s="198"/>
    </row>
    <row r="34" spans="1:24" s="32" customFormat="1" ht="98.25" customHeight="1">
      <c r="A34" s="196" t="s">
        <v>549</v>
      </c>
      <c r="B34" s="94">
        <v>43605</v>
      </c>
      <c r="C34" s="198" t="s">
        <v>562</v>
      </c>
      <c r="D34" s="330"/>
      <c r="E34" s="199" t="s">
        <v>563</v>
      </c>
      <c r="F34" s="200" t="s">
        <v>564</v>
      </c>
      <c r="G34" s="201">
        <f t="shared" si="0"/>
        <v>1302387.3500000001</v>
      </c>
      <c r="H34" s="216">
        <v>1302387.3500000001</v>
      </c>
      <c r="I34" s="201">
        <f t="shared" si="1"/>
        <v>0</v>
      </c>
      <c r="J34" s="99">
        <v>0</v>
      </c>
      <c r="K34" s="201">
        <v>0</v>
      </c>
      <c r="L34" s="203">
        <v>0</v>
      </c>
      <c r="M34" s="211">
        <f t="shared" si="2"/>
        <v>1302387.3500000001</v>
      </c>
      <c r="N34" s="205">
        <v>0</v>
      </c>
      <c r="O34" s="205">
        <f t="shared" si="3"/>
        <v>0</v>
      </c>
      <c r="P34" s="206" t="s">
        <v>391</v>
      </c>
      <c r="Q34" s="207">
        <f t="shared" si="4"/>
        <v>0</v>
      </c>
      <c r="R34" s="217">
        <v>0</v>
      </c>
      <c r="S34" s="208" t="s">
        <v>32</v>
      </c>
      <c r="T34" s="209">
        <v>1</v>
      </c>
      <c r="U34" s="210" t="s">
        <v>610</v>
      </c>
      <c r="V34" s="198"/>
      <c r="W34" s="198"/>
      <c r="X34" s="198"/>
    </row>
    <row r="35" spans="1:24" s="32" customFormat="1" ht="98.25" customHeight="1">
      <c r="A35" s="196" t="s">
        <v>549</v>
      </c>
      <c r="B35" s="94">
        <v>43605</v>
      </c>
      <c r="C35" s="198" t="s">
        <v>565</v>
      </c>
      <c r="D35" s="330"/>
      <c r="E35" s="199" t="s">
        <v>417</v>
      </c>
      <c r="F35" s="200" t="s">
        <v>566</v>
      </c>
      <c r="G35" s="201">
        <f t="shared" si="0"/>
        <v>1288251.1499999999</v>
      </c>
      <c r="H35" s="216">
        <v>1288251.1499999999</v>
      </c>
      <c r="I35" s="201">
        <f t="shared" si="1"/>
        <v>0</v>
      </c>
      <c r="J35" s="99">
        <v>0</v>
      </c>
      <c r="K35" s="201">
        <v>0</v>
      </c>
      <c r="L35" s="203">
        <v>0</v>
      </c>
      <c r="M35" s="211">
        <f t="shared" si="2"/>
        <v>1288251.1499999999</v>
      </c>
      <c r="N35" s="205">
        <v>0</v>
      </c>
      <c r="O35" s="205">
        <f t="shared" si="3"/>
        <v>0</v>
      </c>
      <c r="P35" s="206" t="s">
        <v>391</v>
      </c>
      <c r="Q35" s="207">
        <f t="shared" si="4"/>
        <v>0</v>
      </c>
      <c r="R35" s="217">
        <v>0</v>
      </c>
      <c r="S35" s="208" t="s">
        <v>32</v>
      </c>
      <c r="T35" s="209">
        <v>1</v>
      </c>
      <c r="U35" s="210" t="s">
        <v>610</v>
      </c>
      <c r="V35" s="198"/>
      <c r="W35" s="198"/>
      <c r="X35" s="198"/>
    </row>
    <row r="36" spans="1:24" s="32" customFormat="1" ht="98.25" customHeight="1">
      <c r="A36" s="196" t="s">
        <v>567</v>
      </c>
      <c r="B36" s="94">
        <v>43593</v>
      </c>
      <c r="C36" s="198" t="s">
        <v>568</v>
      </c>
      <c r="D36" s="330"/>
      <c r="E36" s="199" t="s">
        <v>569</v>
      </c>
      <c r="F36" s="200" t="s">
        <v>570</v>
      </c>
      <c r="G36" s="201">
        <f t="shared" si="0"/>
        <v>4323624.1399999997</v>
      </c>
      <c r="H36" s="216">
        <v>4323624.1399999997</v>
      </c>
      <c r="I36" s="201">
        <f t="shared" si="1"/>
        <v>869175.03</v>
      </c>
      <c r="J36" s="99">
        <v>869175.03</v>
      </c>
      <c r="K36" s="201">
        <v>0</v>
      </c>
      <c r="L36" s="203">
        <v>0</v>
      </c>
      <c r="M36" s="211">
        <f t="shared" si="2"/>
        <v>3454449.1099999994</v>
      </c>
      <c r="N36" s="205">
        <v>0</v>
      </c>
      <c r="O36" s="205">
        <f t="shared" si="3"/>
        <v>869175.03</v>
      </c>
      <c r="P36" s="206" t="s">
        <v>391</v>
      </c>
      <c r="Q36" s="207">
        <f t="shared" si="4"/>
        <v>0.20102927587040442</v>
      </c>
      <c r="R36" s="217">
        <v>0.15</v>
      </c>
      <c r="S36" s="208" t="s">
        <v>392</v>
      </c>
      <c r="T36" s="209">
        <v>247.76</v>
      </c>
      <c r="U36" s="210" t="s">
        <v>264</v>
      </c>
      <c r="V36" s="198" t="s">
        <v>696</v>
      </c>
      <c r="W36" s="198" t="s">
        <v>716</v>
      </c>
      <c r="X36" s="198" t="s">
        <v>717</v>
      </c>
    </row>
    <row r="37" spans="1:24" s="32" customFormat="1" ht="98.25" customHeight="1">
      <c r="A37" s="196" t="s">
        <v>250</v>
      </c>
      <c r="B37" s="94">
        <v>43605</v>
      </c>
      <c r="C37" s="198" t="s">
        <v>571</v>
      </c>
      <c r="D37" s="330"/>
      <c r="E37" s="199" t="s">
        <v>572</v>
      </c>
      <c r="F37" s="200" t="s">
        <v>573</v>
      </c>
      <c r="G37" s="201">
        <f t="shared" si="0"/>
        <v>2829533.8</v>
      </c>
      <c r="H37" s="216">
        <v>2829533.8</v>
      </c>
      <c r="I37" s="201">
        <f t="shared" si="1"/>
        <v>839961.83</v>
      </c>
      <c r="J37" s="99">
        <v>839961.83</v>
      </c>
      <c r="K37" s="201">
        <v>0</v>
      </c>
      <c r="L37" s="203">
        <v>0</v>
      </c>
      <c r="M37" s="211">
        <f t="shared" si="2"/>
        <v>1989571.9699999997</v>
      </c>
      <c r="N37" s="205">
        <v>0</v>
      </c>
      <c r="O37" s="205">
        <f t="shared" si="3"/>
        <v>839961.83</v>
      </c>
      <c r="P37" s="206" t="s">
        <v>391</v>
      </c>
      <c r="Q37" s="207">
        <f t="shared" si="4"/>
        <v>0.29685520278994371</v>
      </c>
      <c r="R37" s="217">
        <v>0</v>
      </c>
      <c r="S37" s="208" t="s">
        <v>611</v>
      </c>
      <c r="T37" s="209">
        <v>40</v>
      </c>
      <c r="U37" s="210" t="s">
        <v>321</v>
      </c>
      <c r="V37" s="198" t="s">
        <v>713</v>
      </c>
      <c r="W37" s="198" t="s">
        <v>707</v>
      </c>
      <c r="X37" s="198" t="s">
        <v>718</v>
      </c>
    </row>
    <row r="38" spans="1:24" s="32" customFormat="1" ht="98.25" customHeight="1">
      <c r="A38" s="196" t="s">
        <v>250</v>
      </c>
      <c r="B38" s="94">
        <v>43605</v>
      </c>
      <c r="C38" s="198" t="s">
        <v>574</v>
      </c>
      <c r="D38" s="330"/>
      <c r="E38" s="199" t="s">
        <v>575</v>
      </c>
      <c r="F38" s="200" t="s">
        <v>576</v>
      </c>
      <c r="G38" s="201">
        <f t="shared" si="0"/>
        <v>2829533.8</v>
      </c>
      <c r="H38" s="216">
        <v>2829533.8</v>
      </c>
      <c r="I38" s="201">
        <f t="shared" si="1"/>
        <v>0</v>
      </c>
      <c r="J38" s="99">
        <v>0</v>
      </c>
      <c r="K38" s="201">
        <v>0</v>
      </c>
      <c r="L38" s="203">
        <v>0</v>
      </c>
      <c r="M38" s="211">
        <f t="shared" si="2"/>
        <v>2829533.8</v>
      </c>
      <c r="N38" s="205">
        <v>0</v>
      </c>
      <c r="O38" s="205">
        <f t="shared" si="3"/>
        <v>0</v>
      </c>
      <c r="P38" s="206" t="s">
        <v>391</v>
      </c>
      <c r="Q38" s="207">
        <f t="shared" si="4"/>
        <v>0</v>
      </c>
      <c r="R38" s="217">
        <v>0</v>
      </c>
      <c r="S38" s="208" t="s">
        <v>611</v>
      </c>
      <c r="T38" s="209">
        <v>40</v>
      </c>
      <c r="U38" s="210" t="s">
        <v>321</v>
      </c>
      <c r="V38" s="198"/>
      <c r="W38" s="198"/>
      <c r="X38" s="198"/>
    </row>
    <row r="39" spans="1:24" s="32" customFormat="1" ht="98.25" customHeight="1">
      <c r="A39" s="196" t="s">
        <v>250</v>
      </c>
      <c r="B39" s="94">
        <v>43605</v>
      </c>
      <c r="C39" s="198" t="s">
        <v>577</v>
      </c>
      <c r="D39" s="330"/>
      <c r="E39" s="199" t="s">
        <v>578</v>
      </c>
      <c r="F39" s="200" t="s">
        <v>579</v>
      </c>
      <c r="G39" s="201">
        <f t="shared" si="0"/>
        <v>2829533.8</v>
      </c>
      <c r="H39" s="216">
        <v>2829533.8</v>
      </c>
      <c r="I39" s="201">
        <f t="shared" si="1"/>
        <v>0</v>
      </c>
      <c r="J39" s="99">
        <v>0</v>
      </c>
      <c r="K39" s="201">
        <v>0</v>
      </c>
      <c r="L39" s="203">
        <v>0</v>
      </c>
      <c r="M39" s="211">
        <f t="shared" si="2"/>
        <v>2829533.8</v>
      </c>
      <c r="N39" s="205">
        <v>0</v>
      </c>
      <c r="O39" s="205">
        <f t="shared" si="3"/>
        <v>0</v>
      </c>
      <c r="P39" s="206" t="s">
        <v>391</v>
      </c>
      <c r="Q39" s="207">
        <f t="shared" si="4"/>
        <v>0</v>
      </c>
      <c r="R39" s="217">
        <v>0</v>
      </c>
      <c r="S39" s="208" t="s">
        <v>611</v>
      </c>
      <c r="T39" s="209">
        <v>40</v>
      </c>
      <c r="U39" s="210" t="s">
        <v>321</v>
      </c>
      <c r="V39" s="198"/>
      <c r="W39" s="198"/>
      <c r="X39" s="198"/>
    </row>
    <row r="40" spans="1:24" s="32" customFormat="1" ht="98.25" customHeight="1">
      <c r="A40" s="196" t="s">
        <v>250</v>
      </c>
      <c r="B40" s="94">
        <v>43605</v>
      </c>
      <c r="C40" s="198" t="s">
        <v>580</v>
      </c>
      <c r="D40" s="330"/>
      <c r="E40" s="199" t="s">
        <v>581</v>
      </c>
      <c r="F40" s="200" t="s">
        <v>582</v>
      </c>
      <c r="G40" s="201">
        <f t="shared" si="0"/>
        <v>2758795.49</v>
      </c>
      <c r="H40" s="216">
        <v>2758795.49</v>
      </c>
      <c r="I40" s="201">
        <f t="shared" si="1"/>
        <v>0</v>
      </c>
      <c r="J40" s="99">
        <v>0</v>
      </c>
      <c r="K40" s="201">
        <v>0</v>
      </c>
      <c r="L40" s="203">
        <v>0</v>
      </c>
      <c r="M40" s="211">
        <f t="shared" si="2"/>
        <v>2758795.49</v>
      </c>
      <c r="N40" s="205">
        <v>0</v>
      </c>
      <c r="O40" s="205">
        <f t="shared" si="3"/>
        <v>0</v>
      </c>
      <c r="P40" s="206" t="s">
        <v>391</v>
      </c>
      <c r="Q40" s="207">
        <f t="shared" si="4"/>
        <v>0</v>
      </c>
      <c r="R40" s="217">
        <v>0</v>
      </c>
      <c r="S40" s="208" t="s">
        <v>611</v>
      </c>
      <c r="T40" s="209">
        <v>39</v>
      </c>
      <c r="U40" s="210" t="s">
        <v>612</v>
      </c>
      <c r="V40" s="198"/>
      <c r="W40" s="198"/>
      <c r="X40" s="198"/>
    </row>
    <row r="41" spans="1:24" s="32" customFormat="1" ht="98.25" customHeight="1">
      <c r="A41" s="196" t="s">
        <v>250</v>
      </c>
      <c r="B41" s="94">
        <v>43606</v>
      </c>
      <c r="C41" s="198" t="s">
        <v>583</v>
      </c>
      <c r="D41" s="330"/>
      <c r="E41" s="199" t="s">
        <v>584</v>
      </c>
      <c r="F41" s="200" t="s">
        <v>585</v>
      </c>
      <c r="G41" s="201">
        <f t="shared" si="0"/>
        <v>2900272.15</v>
      </c>
      <c r="H41" s="216">
        <v>2900272.15</v>
      </c>
      <c r="I41" s="201">
        <f t="shared" si="1"/>
        <v>0</v>
      </c>
      <c r="J41" s="99">
        <v>0</v>
      </c>
      <c r="K41" s="201">
        <v>0</v>
      </c>
      <c r="L41" s="203">
        <v>0</v>
      </c>
      <c r="M41" s="211">
        <f t="shared" si="2"/>
        <v>2900272.15</v>
      </c>
      <c r="N41" s="205">
        <v>0</v>
      </c>
      <c r="O41" s="205">
        <f t="shared" si="3"/>
        <v>0</v>
      </c>
      <c r="P41" s="206" t="s">
        <v>391</v>
      </c>
      <c r="Q41" s="207">
        <f t="shared" si="4"/>
        <v>0</v>
      </c>
      <c r="R41" s="217">
        <v>0</v>
      </c>
      <c r="S41" s="208" t="s">
        <v>611</v>
      </c>
      <c r="T41" s="209">
        <v>41</v>
      </c>
      <c r="U41" s="210" t="s">
        <v>323</v>
      </c>
      <c r="V41" s="198"/>
      <c r="W41" s="198"/>
      <c r="X41" s="198"/>
    </row>
    <row r="42" spans="1:24" s="32" customFormat="1" ht="98.25" customHeight="1">
      <c r="A42" s="196" t="s">
        <v>250</v>
      </c>
      <c r="B42" s="94">
        <v>43614</v>
      </c>
      <c r="C42" s="198" t="s">
        <v>586</v>
      </c>
      <c r="D42" s="330"/>
      <c r="E42" s="199" t="s">
        <v>587</v>
      </c>
      <c r="F42" s="200" t="s">
        <v>588</v>
      </c>
      <c r="G42" s="201">
        <f t="shared" si="0"/>
        <v>767830.91</v>
      </c>
      <c r="H42" s="216">
        <v>767830.91</v>
      </c>
      <c r="I42" s="201">
        <f t="shared" si="1"/>
        <v>221949.05</v>
      </c>
      <c r="J42" s="99">
        <v>221949.05</v>
      </c>
      <c r="K42" s="201">
        <v>0</v>
      </c>
      <c r="L42" s="203">
        <v>0</v>
      </c>
      <c r="M42" s="211">
        <f t="shared" si="2"/>
        <v>545881.8600000001</v>
      </c>
      <c r="N42" s="205">
        <v>0</v>
      </c>
      <c r="O42" s="205">
        <f t="shared" si="3"/>
        <v>221949.05</v>
      </c>
      <c r="P42" s="206" t="s">
        <v>391</v>
      </c>
      <c r="Q42" s="207">
        <f t="shared" si="4"/>
        <v>0.2890598009397668</v>
      </c>
      <c r="R42" s="217">
        <v>0</v>
      </c>
      <c r="S42" s="208" t="s">
        <v>32</v>
      </c>
      <c r="T42" s="209">
        <v>1</v>
      </c>
      <c r="U42" s="210" t="s">
        <v>587</v>
      </c>
      <c r="V42" s="198" t="s">
        <v>704</v>
      </c>
      <c r="W42" s="198" t="s">
        <v>719</v>
      </c>
      <c r="X42" s="198" t="s">
        <v>720</v>
      </c>
    </row>
    <row r="43" spans="1:24" s="32" customFormat="1" ht="98.25" customHeight="1">
      <c r="A43" s="196" t="s">
        <v>250</v>
      </c>
      <c r="B43" s="94">
        <v>43614</v>
      </c>
      <c r="C43" s="198" t="s">
        <v>589</v>
      </c>
      <c r="D43" s="330"/>
      <c r="E43" s="199" t="s">
        <v>590</v>
      </c>
      <c r="F43" s="200" t="s">
        <v>591</v>
      </c>
      <c r="G43" s="201">
        <f t="shared" si="0"/>
        <v>958054.64</v>
      </c>
      <c r="H43" s="216">
        <v>958054.64</v>
      </c>
      <c r="I43" s="201">
        <f t="shared" si="1"/>
        <v>0</v>
      </c>
      <c r="J43" s="99">
        <v>0</v>
      </c>
      <c r="K43" s="201">
        <v>0</v>
      </c>
      <c r="L43" s="203">
        <v>0</v>
      </c>
      <c r="M43" s="211">
        <f t="shared" si="2"/>
        <v>958054.64</v>
      </c>
      <c r="N43" s="205">
        <v>0</v>
      </c>
      <c r="O43" s="205">
        <f t="shared" si="3"/>
        <v>0</v>
      </c>
      <c r="P43" s="206" t="s">
        <v>391</v>
      </c>
      <c r="Q43" s="207">
        <f t="shared" si="4"/>
        <v>0</v>
      </c>
      <c r="R43" s="217">
        <v>0.05</v>
      </c>
      <c r="S43" s="208" t="s">
        <v>32</v>
      </c>
      <c r="T43" s="209">
        <v>1</v>
      </c>
      <c r="U43" s="210" t="s">
        <v>613</v>
      </c>
      <c r="V43" s="198"/>
      <c r="W43" s="198"/>
      <c r="X43" s="198"/>
    </row>
    <row r="44" spans="1:24" s="32" customFormat="1" ht="98.25" customHeight="1">
      <c r="A44" s="196" t="s">
        <v>250</v>
      </c>
      <c r="B44" s="94">
        <v>43614</v>
      </c>
      <c r="C44" s="198" t="s">
        <v>592</v>
      </c>
      <c r="D44" s="330"/>
      <c r="E44" s="199" t="s">
        <v>593</v>
      </c>
      <c r="F44" s="200" t="s">
        <v>594</v>
      </c>
      <c r="G44" s="201">
        <f t="shared" si="0"/>
        <v>596999.06999999995</v>
      </c>
      <c r="H44" s="216">
        <v>596999.06999999995</v>
      </c>
      <c r="I44" s="201">
        <f t="shared" si="1"/>
        <v>174000.11</v>
      </c>
      <c r="J44" s="99">
        <v>174000.11</v>
      </c>
      <c r="K44" s="201">
        <v>0</v>
      </c>
      <c r="L44" s="203">
        <v>0</v>
      </c>
      <c r="M44" s="211">
        <f t="shared" si="2"/>
        <v>422998.95999999996</v>
      </c>
      <c r="N44" s="205">
        <v>0</v>
      </c>
      <c r="O44" s="205">
        <f t="shared" si="3"/>
        <v>174000.11</v>
      </c>
      <c r="P44" s="206" t="s">
        <v>391</v>
      </c>
      <c r="Q44" s="207">
        <f t="shared" si="4"/>
        <v>0.29145792471670012</v>
      </c>
      <c r="R44" s="217">
        <v>0.11</v>
      </c>
      <c r="S44" s="208" t="s">
        <v>32</v>
      </c>
      <c r="T44" s="209">
        <v>1</v>
      </c>
      <c r="U44" s="210" t="s">
        <v>614</v>
      </c>
      <c r="V44" s="198" t="s">
        <v>704</v>
      </c>
      <c r="W44" s="198" t="s">
        <v>721</v>
      </c>
      <c r="X44" s="198" t="s">
        <v>722</v>
      </c>
    </row>
    <row r="45" spans="1:24" s="32" customFormat="1" ht="98.25" customHeight="1">
      <c r="A45" s="196" t="s">
        <v>250</v>
      </c>
      <c r="B45" s="94">
        <v>43614</v>
      </c>
      <c r="C45" s="198" t="s">
        <v>595</v>
      </c>
      <c r="D45" s="330"/>
      <c r="E45" s="199" t="s">
        <v>596</v>
      </c>
      <c r="F45" s="200" t="s">
        <v>597</v>
      </c>
      <c r="G45" s="201">
        <f t="shared" si="0"/>
        <v>1118335.57</v>
      </c>
      <c r="H45" s="216">
        <v>1118335.57</v>
      </c>
      <c r="I45" s="201">
        <f t="shared" si="1"/>
        <v>323433.49</v>
      </c>
      <c r="J45" s="99">
        <v>323433.49</v>
      </c>
      <c r="K45" s="201">
        <v>0</v>
      </c>
      <c r="L45" s="203">
        <v>0</v>
      </c>
      <c r="M45" s="211">
        <f t="shared" si="2"/>
        <v>794902.08000000007</v>
      </c>
      <c r="N45" s="205">
        <v>0</v>
      </c>
      <c r="O45" s="205">
        <f t="shared" si="3"/>
        <v>323433.49</v>
      </c>
      <c r="P45" s="206" t="s">
        <v>391</v>
      </c>
      <c r="Q45" s="207">
        <f t="shared" si="4"/>
        <v>0.28920969579819406</v>
      </c>
      <c r="R45" s="217">
        <v>0.05</v>
      </c>
      <c r="S45" s="208" t="s">
        <v>32</v>
      </c>
      <c r="T45" s="209">
        <v>1</v>
      </c>
      <c r="U45" s="210" t="s">
        <v>615</v>
      </c>
      <c r="V45" s="198" t="s">
        <v>704</v>
      </c>
      <c r="W45" s="198" t="s">
        <v>723</v>
      </c>
      <c r="X45" s="198" t="s">
        <v>724</v>
      </c>
    </row>
    <row r="46" spans="1:24" s="32" customFormat="1" ht="98.25" customHeight="1">
      <c r="A46" s="196" t="s">
        <v>250</v>
      </c>
      <c r="B46" s="94">
        <v>43614</v>
      </c>
      <c r="C46" s="198" t="s">
        <v>598</v>
      </c>
      <c r="D46" s="330"/>
      <c r="E46" s="199" t="s">
        <v>599</v>
      </c>
      <c r="F46" s="200" t="s">
        <v>600</v>
      </c>
      <c r="G46" s="201">
        <f t="shared" si="0"/>
        <v>136100.79</v>
      </c>
      <c r="H46" s="216">
        <v>136100.79</v>
      </c>
      <c r="I46" s="201">
        <f t="shared" si="1"/>
        <v>0</v>
      </c>
      <c r="J46" s="99">
        <v>0</v>
      </c>
      <c r="K46" s="201">
        <v>0</v>
      </c>
      <c r="L46" s="203">
        <v>0</v>
      </c>
      <c r="M46" s="211">
        <f t="shared" si="2"/>
        <v>136100.79</v>
      </c>
      <c r="N46" s="205">
        <v>0</v>
      </c>
      <c r="O46" s="205">
        <f t="shared" si="3"/>
        <v>0</v>
      </c>
      <c r="P46" s="206" t="s">
        <v>391</v>
      </c>
      <c r="Q46" s="207">
        <f t="shared" si="4"/>
        <v>0</v>
      </c>
      <c r="R46" s="217">
        <v>0</v>
      </c>
      <c r="S46" s="208" t="s">
        <v>32</v>
      </c>
      <c r="T46" s="209">
        <v>1</v>
      </c>
      <c r="U46" s="210" t="s">
        <v>495</v>
      </c>
      <c r="V46" s="198"/>
      <c r="W46" s="198"/>
      <c r="X46" s="198"/>
    </row>
    <row r="47" spans="1:24" s="32" customFormat="1" ht="84" customHeight="1">
      <c r="A47" s="196" t="s">
        <v>250</v>
      </c>
      <c r="B47" s="94">
        <v>43614</v>
      </c>
      <c r="C47" s="198" t="s">
        <v>601</v>
      </c>
      <c r="D47" s="330"/>
      <c r="E47" s="199" t="s">
        <v>602</v>
      </c>
      <c r="F47" s="200" t="s">
        <v>603</v>
      </c>
      <c r="G47" s="201">
        <f t="shared" si="0"/>
        <v>725570.22</v>
      </c>
      <c r="H47" s="216">
        <v>725570.22</v>
      </c>
      <c r="I47" s="201">
        <f t="shared" si="1"/>
        <v>209950.58</v>
      </c>
      <c r="J47" s="99">
        <v>209950.58</v>
      </c>
      <c r="K47" s="201">
        <v>0</v>
      </c>
      <c r="L47" s="203">
        <v>0</v>
      </c>
      <c r="M47" s="211">
        <f t="shared" si="2"/>
        <v>515619.64</v>
      </c>
      <c r="N47" s="205">
        <v>0</v>
      </c>
      <c r="O47" s="205">
        <f t="shared" si="3"/>
        <v>209950.58</v>
      </c>
      <c r="P47" s="206" t="s">
        <v>391</v>
      </c>
      <c r="Q47" s="207">
        <f t="shared" si="4"/>
        <v>0.28935942271721127</v>
      </c>
      <c r="R47" s="217">
        <v>0</v>
      </c>
      <c r="S47" s="208" t="s">
        <v>32</v>
      </c>
      <c r="T47" s="209">
        <v>1</v>
      </c>
      <c r="U47" s="210" t="s">
        <v>616</v>
      </c>
      <c r="V47" s="198" t="s">
        <v>704</v>
      </c>
      <c r="W47" s="198" t="s">
        <v>725</v>
      </c>
      <c r="X47" s="198" t="s">
        <v>726</v>
      </c>
    </row>
    <row r="48" spans="1:24" s="32" customFormat="1" ht="98.25" customHeight="1">
      <c r="A48" s="196" t="s">
        <v>250</v>
      </c>
      <c r="B48" s="94">
        <v>43614</v>
      </c>
      <c r="C48" s="198" t="s">
        <v>604</v>
      </c>
      <c r="D48" s="330"/>
      <c r="E48" s="199" t="s">
        <v>605</v>
      </c>
      <c r="F48" s="200" t="s">
        <v>606</v>
      </c>
      <c r="G48" s="201">
        <f t="shared" si="0"/>
        <v>822763.7</v>
      </c>
      <c r="H48" s="216">
        <v>822763.7</v>
      </c>
      <c r="I48" s="201">
        <f t="shared" si="1"/>
        <v>234126.37</v>
      </c>
      <c r="J48" s="99">
        <v>234126.37</v>
      </c>
      <c r="K48" s="201">
        <v>0</v>
      </c>
      <c r="L48" s="203">
        <v>0</v>
      </c>
      <c r="M48" s="211">
        <f t="shared" si="2"/>
        <v>588637.32999999996</v>
      </c>
      <c r="N48" s="205">
        <v>0</v>
      </c>
      <c r="O48" s="205">
        <f t="shared" si="3"/>
        <v>234126.37</v>
      </c>
      <c r="P48" s="206" t="s">
        <v>391</v>
      </c>
      <c r="Q48" s="207">
        <f t="shared" si="4"/>
        <v>0.28456088911068878</v>
      </c>
      <c r="R48" s="217">
        <v>0</v>
      </c>
      <c r="S48" s="208" t="s">
        <v>32</v>
      </c>
      <c r="T48" s="209">
        <v>1</v>
      </c>
      <c r="U48" s="210" t="s">
        <v>617</v>
      </c>
      <c r="V48" s="198" t="s">
        <v>704</v>
      </c>
      <c r="W48" s="198" t="s">
        <v>727</v>
      </c>
      <c r="X48" s="198" t="s">
        <v>728</v>
      </c>
    </row>
    <row r="49" spans="1:24" s="32" customFormat="1" ht="98.25" customHeight="1">
      <c r="A49" s="196" t="s">
        <v>250</v>
      </c>
      <c r="B49" s="94">
        <v>43614</v>
      </c>
      <c r="C49" s="198" t="s">
        <v>607</v>
      </c>
      <c r="D49" s="330"/>
      <c r="E49" s="199" t="s">
        <v>608</v>
      </c>
      <c r="F49" s="200" t="s">
        <v>609</v>
      </c>
      <c r="G49" s="201">
        <f t="shared" si="0"/>
        <v>692849.13</v>
      </c>
      <c r="H49" s="216">
        <v>692849.13</v>
      </c>
      <c r="I49" s="201">
        <f t="shared" si="1"/>
        <v>0</v>
      </c>
      <c r="J49" s="99">
        <v>0</v>
      </c>
      <c r="K49" s="201">
        <v>0</v>
      </c>
      <c r="L49" s="203">
        <v>0</v>
      </c>
      <c r="M49" s="211">
        <f t="shared" si="2"/>
        <v>692849.13</v>
      </c>
      <c r="N49" s="205">
        <v>0</v>
      </c>
      <c r="O49" s="205">
        <f t="shared" si="3"/>
        <v>0</v>
      </c>
      <c r="P49" s="206" t="s">
        <v>391</v>
      </c>
      <c r="Q49" s="207">
        <f t="shared" si="4"/>
        <v>0</v>
      </c>
      <c r="R49" s="217">
        <v>0</v>
      </c>
      <c r="S49" s="208" t="s">
        <v>32</v>
      </c>
      <c r="T49" s="209">
        <v>1</v>
      </c>
      <c r="U49" s="210" t="s">
        <v>617</v>
      </c>
      <c r="V49" s="198"/>
      <c r="W49" s="198"/>
      <c r="X49" s="198"/>
    </row>
    <row r="50" spans="1:24" s="32" customFormat="1" ht="98.25" customHeight="1">
      <c r="A50" s="196" t="s">
        <v>250</v>
      </c>
      <c r="B50" s="94">
        <v>43621</v>
      </c>
      <c r="C50" s="198" t="s">
        <v>729</v>
      </c>
      <c r="D50" s="330"/>
      <c r="E50" s="199" t="s">
        <v>730</v>
      </c>
      <c r="F50" s="200" t="s">
        <v>731</v>
      </c>
      <c r="G50" s="201">
        <f t="shared" si="0"/>
        <v>769672.52</v>
      </c>
      <c r="H50" s="216">
        <v>769672.52</v>
      </c>
      <c r="I50" s="201">
        <f t="shared" si="1"/>
        <v>0</v>
      </c>
      <c r="J50" s="99">
        <v>0</v>
      </c>
      <c r="K50" s="201">
        <v>0</v>
      </c>
      <c r="L50" s="203">
        <v>0</v>
      </c>
      <c r="M50" s="211">
        <f t="shared" si="2"/>
        <v>769672.52</v>
      </c>
      <c r="N50" s="205">
        <v>0</v>
      </c>
      <c r="O50" s="205">
        <f t="shared" si="3"/>
        <v>0</v>
      </c>
      <c r="P50" s="206" t="s">
        <v>391</v>
      </c>
      <c r="Q50" s="207">
        <f t="shared" si="4"/>
        <v>0</v>
      </c>
      <c r="R50" s="217">
        <v>0</v>
      </c>
      <c r="S50" s="208" t="s">
        <v>32</v>
      </c>
      <c r="T50" s="209">
        <v>1</v>
      </c>
      <c r="U50" s="210" t="s">
        <v>732</v>
      </c>
      <c r="V50" s="198"/>
      <c r="W50" s="198"/>
      <c r="X50" s="198"/>
    </row>
    <row r="51" spans="1:24" s="32" customFormat="1" ht="98.25" customHeight="1">
      <c r="A51" s="196" t="s">
        <v>250</v>
      </c>
      <c r="B51" s="94">
        <v>43621</v>
      </c>
      <c r="C51" s="198" t="s">
        <v>733</v>
      </c>
      <c r="D51" s="330"/>
      <c r="E51" s="199" t="s">
        <v>734</v>
      </c>
      <c r="F51" s="200" t="s">
        <v>735</v>
      </c>
      <c r="G51" s="201">
        <f t="shared" si="0"/>
        <v>901990.57</v>
      </c>
      <c r="H51" s="216">
        <v>901990.57</v>
      </c>
      <c r="I51" s="201">
        <f t="shared" si="1"/>
        <v>0</v>
      </c>
      <c r="J51" s="99">
        <v>0</v>
      </c>
      <c r="K51" s="201">
        <v>0</v>
      </c>
      <c r="L51" s="203">
        <v>0</v>
      </c>
      <c r="M51" s="211">
        <f t="shared" si="2"/>
        <v>901990.57</v>
      </c>
      <c r="N51" s="205">
        <v>0</v>
      </c>
      <c r="O51" s="205">
        <f t="shared" si="3"/>
        <v>0</v>
      </c>
      <c r="P51" s="206" t="s">
        <v>391</v>
      </c>
      <c r="Q51" s="207">
        <f t="shared" si="4"/>
        <v>0</v>
      </c>
      <c r="R51" s="217">
        <v>0</v>
      </c>
      <c r="S51" s="208" t="s">
        <v>32</v>
      </c>
      <c r="T51" s="209">
        <v>1</v>
      </c>
      <c r="U51" s="210" t="s">
        <v>736</v>
      </c>
      <c r="V51" s="198"/>
      <c r="W51" s="198"/>
      <c r="X51" s="198"/>
    </row>
    <row r="52" spans="1:24" s="32" customFormat="1" ht="87.75" customHeight="1">
      <c r="A52" s="196" t="s">
        <v>250</v>
      </c>
      <c r="B52" s="94">
        <v>43629</v>
      </c>
      <c r="C52" s="198" t="s">
        <v>737</v>
      </c>
      <c r="D52" s="330"/>
      <c r="E52" s="199" t="s">
        <v>738</v>
      </c>
      <c r="F52" s="200" t="s">
        <v>739</v>
      </c>
      <c r="G52" s="201">
        <f t="shared" si="0"/>
        <v>2130194.66</v>
      </c>
      <c r="H52" s="216">
        <v>2130194.66</v>
      </c>
      <c r="I52" s="201">
        <f t="shared" si="1"/>
        <v>0</v>
      </c>
      <c r="J52" s="99">
        <v>0</v>
      </c>
      <c r="K52" s="201">
        <v>0</v>
      </c>
      <c r="L52" s="203">
        <v>0</v>
      </c>
      <c r="M52" s="211">
        <f t="shared" si="2"/>
        <v>2130194.66</v>
      </c>
      <c r="N52" s="205">
        <v>0</v>
      </c>
      <c r="O52" s="205">
        <f t="shared" si="3"/>
        <v>0</v>
      </c>
      <c r="P52" s="206" t="s">
        <v>391</v>
      </c>
      <c r="Q52" s="207">
        <f t="shared" si="4"/>
        <v>0</v>
      </c>
      <c r="R52" s="217">
        <v>0</v>
      </c>
      <c r="S52" s="208" t="s">
        <v>86</v>
      </c>
      <c r="T52" s="209">
        <v>900</v>
      </c>
      <c r="U52" s="210" t="s">
        <v>740</v>
      </c>
      <c r="V52" s="198"/>
      <c r="W52" s="198"/>
      <c r="X52" s="198"/>
    </row>
    <row r="53" spans="1:24" s="32" customFormat="1" ht="86.25" customHeight="1">
      <c r="A53" s="196" t="s">
        <v>250</v>
      </c>
      <c r="B53" s="94">
        <v>43629</v>
      </c>
      <c r="C53" s="198" t="s">
        <v>741</v>
      </c>
      <c r="D53" s="330"/>
      <c r="E53" s="199" t="s">
        <v>742</v>
      </c>
      <c r="F53" s="200" t="s">
        <v>743</v>
      </c>
      <c r="G53" s="201">
        <f t="shared" si="0"/>
        <v>1247146.81</v>
      </c>
      <c r="H53" s="216">
        <v>1247146.81</v>
      </c>
      <c r="I53" s="201">
        <f t="shared" si="1"/>
        <v>0</v>
      </c>
      <c r="J53" s="99">
        <v>0</v>
      </c>
      <c r="K53" s="201">
        <v>0</v>
      </c>
      <c r="L53" s="203">
        <v>0</v>
      </c>
      <c r="M53" s="211">
        <f t="shared" si="2"/>
        <v>1247146.81</v>
      </c>
      <c r="N53" s="205">
        <v>0</v>
      </c>
      <c r="O53" s="205">
        <f t="shared" si="3"/>
        <v>0</v>
      </c>
      <c r="P53" s="206" t="s">
        <v>391</v>
      </c>
      <c r="Q53" s="207">
        <f t="shared" si="4"/>
        <v>0</v>
      </c>
      <c r="R53" s="217">
        <v>0</v>
      </c>
      <c r="S53" s="208" t="s">
        <v>86</v>
      </c>
      <c r="T53" s="209">
        <v>580</v>
      </c>
      <c r="U53" s="210" t="s">
        <v>198</v>
      </c>
      <c r="V53" s="198"/>
      <c r="W53" s="198"/>
      <c r="X53" s="198"/>
    </row>
    <row r="54" spans="1:24" s="32" customFormat="1" ht="84" customHeight="1">
      <c r="A54" s="196" t="s">
        <v>250</v>
      </c>
      <c r="B54" s="94">
        <v>43629</v>
      </c>
      <c r="C54" s="198" t="s">
        <v>744</v>
      </c>
      <c r="D54" s="330"/>
      <c r="E54" s="199" t="s">
        <v>745</v>
      </c>
      <c r="F54" s="200" t="s">
        <v>746</v>
      </c>
      <c r="G54" s="201">
        <f t="shared" si="0"/>
        <v>3014432.85</v>
      </c>
      <c r="H54" s="216">
        <v>3014432.85</v>
      </c>
      <c r="I54" s="201">
        <f t="shared" si="1"/>
        <v>0</v>
      </c>
      <c r="J54" s="99">
        <v>0</v>
      </c>
      <c r="K54" s="201">
        <v>0</v>
      </c>
      <c r="L54" s="203">
        <v>0</v>
      </c>
      <c r="M54" s="211">
        <f t="shared" si="2"/>
        <v>3014432.85</v>
      </c>
      <c r="N54" s="205">
        <v>0</v>
      </c>
      <c r="O54" s="205">
        <f t="shared" si="3"/>
        <v>0</v>
      </c>
      <c r="P54" s="206" t="s">
        <v>391</v>
      </c>
      <c r="Q54" s="207">
        <f t="shared" si="4"/>
        <v>0</v>
      </c>
      <c r="R54" s="217">
        <v>0</v>
      </c>
      <c r="S54" s="208" t="s">
        <v>86</v>
      </c>
      <c r="T54" s="209">
        <v>1560</v>
      </c>
      <c r="U54" s="210" t="s">
        <v>747</v>
      </c>
      <c r="V54" s="198"/>
      <c r="W54" s="198"/>
      <c r="X54" s="198"/>
    </row>
    <row r="55" spans="1:24" s="32" customFormat="1" ht="85.5" customHeight="1">
      <c r="A55" s="196" t="s">
        <v>250</v>
      </c>
      <c r="B55" s="94">
        <v>43629</v>
      </c>
      <c r="C55" s="198" t="s">
        <v>748</v>
      </c>
      <c r="D55" s="330"/>
      <c r="E55" s="199" t="s">
        <v>749</v>
      </c>
      <c r="F55" s="200" t="s">
        <v>750</v>
      </c>
      <c r="G55" s="201">
        <f t="shared" si="0"/>
        <v>1075923.1100000001</v>
      </c>
      <c r="H55" s="216">
        <v>1075923.1100000001</v>
      </c>
      <c r="I55" s="201">
        <f t="shared" si="1"/>
        <v>0</v>
      </c>
      <c r="J55" s="99">
        <v>0</v>
      </c>
      <c r="K55" s="201">
        <v>0</v>
      </c>
      <c r="L55" s="203">
        <v>0</v>
      </c>
      <c r="M55" s="211">
        <f t="shared" si="2"/>
        <v>1075923.1100000001</v>
      </c>
      <c r="N55" s="205">
        <v>0</v>
      </c>
      <c r="O55" s="205">
        <f t="shared" si="3"/>
        <v>0</v>
      </c>
      <c r="P55" s="206" t="s">
        <v>391</v>
      </c>
      <c r="Q55" s="207">
        <f t="shared" si="4"/>
        <v>0</v>
      </c>
      <c r="R55" s="217">
        <v>0</v>
      </c>
      <c r="S55" s="208" t="s">
        <v>86</v>
      </c>
      <c r="T55" s="209">
        <v>366</v>
      </c>
      <c r="U55" s="210" t="s">
        <v>198</v>
      </c>
      <c r="V55" s="198"/>
      <c r="W55" s="198"/>
      <c r="X55" s="198"/>
    </row>
    <row r="56" spans="1:24" s="32" customFormat="1" ht="98.25" customHeight="1">
      <c r="A56" s="196" t="s">
        <v>250</v>
      </c>
      <c r="B56" s="94">
        <v>43626</v>
      </c>
      <c r="C56" s="198" t="s">
        <v>751</v>
      </c>
      <c r="D56" s="330"/>
      <c r="E56" s="199" t="s">
        <v>752</v>
      </c>
      <c r="F56" s="200" t="s">
        <v>753</v>
      </c>
      <c r="G56" s="201">
        <f t="shared" si="0"/>
        <v>1123141.94</v>
      </c>
      <c r="H56" s="216">
        <v>1123141.94</v>
      </c>
      <c r="I56" s="201">
        <f t="shared" si="1"/>
        <v>0</v>
      </c>
      <c r="J56" s="99">
        <v>0</v>
      </c>
      <c r="K56" s="201">
        <v>0</v>
      </c>
      <c r="L56" s="203">
        <v>0</v>
      </c>
      <c r="M56" s="211">
        <f t="shared" si="2"/>
        <v>1123141.94</v>
      </c>
      <c r="N56" s="205">
        <v>0</v>
      </c>
      <c r="O56" s="205">
        <f t="shared" si="3"/>
        <v>0</v>
      </c>
      <c r="P56" s="206" t="s">
        <v>391</v>
      </c>
      <c r="Q56" s="207">
        <f t="shared" si="4"/>
        <v>0</v>
      </c>
      <c r="R56" s="217">
        <v>0</v>
      </c>
      <c r="S56" s="208" t="s">
        <v>32</v>
      </c>
      <c r="T56" s="209">
        <v>1</v>
      </c>
      <c r="U56" s="210" t="s">
        <v>754</v>
      </c>
      <c r="V56" s="198"/>
      <c r="W56" s="198"/>
      <c r="X56" s="198"/>
    </row>
    <row r="57" spans="1:24" s="32" customFormat="1" ht="98.25" customHeight="1">
      <c r="A57" s="196" t="s">
        <v>250</v>
      </c>
      <c r="B57" s="94">
        <v>43626</v>
      </c>
      <c r="C57" s="198" t="s">
        <v>755</v>
      </c>
      <c r="D57" s="330"/>
      <c r="E57" s="199" t="s">
        <v>756</v>
      </c>
      <c r="F57" s="200" t="s">
        <v>757</v>
      </c>
      <c r="G57" s="201">
        <f t="shared" si="0"/>
        <v>806764.16</v>
      </c>
      <c r="H57" s="216">
        <v>806764.16</v>
      </c>
      <c r="I57" s="201">
        <f t="shared" si="1"/>
        <v>0</v>
      </c>
      <c r="J57" s="99">
        <v>0</v>
      </c>
      <c r="K57" s="201">
        <v>0</v>
      </c>
      <c r="L57" s="203">
        <v>0</v>
      </c>
      <c r="M57" s="211">
        <f t="shared" si="2"/>
        <v>806764.16</v>
      </c>
      <c r="N57" s="205">
        <v>0</v>
      </c>
      <c r="O57" s="205">
        <f t="shared" si="3"/>
        <v>0</v>
      </c>
      <c r="P57" s="206" t="s">
        <v>391</v>
      </c>
      <c r="Q57" s="207">
        <f t="shared" si="4"/>
        <v>0</v>
      </c>
      <c r="R57" s="217">
        <v>0</v>
      </c>
      <c r="S57" s="208" t="s">
        <v>32</v>
      </c>
      <c r="T57" s="209">
        <v>1</v>
      </c>
      <c r="U57" s="210" t="s">
        <v>758</v>
      </c>
      <c r="V57" s="198"/>
      <c r="W57" s="198"/>
      <c r="X57" s="198"/>
    </row>
    <row r="58" spans="1:24" s="32" customFormat="1" ht="98.25" customHeight="1">
      <c r="A58" s="196" t="s">
        <v>250</v>
      </c>
      <c r="B58" s="94">
        <v>43635</v>
      </c>
      <c r="C58" s="198" t="s">
        <v>759</v>
      </c>
      <c r="D58" s="330"/>
      <c r="E58" s="199" t="s">
        <v>760</v>
      </c>
      <c r="F58" s="200" t="s">
        <v>761</v>
      </c>
      <c r="G58" s="201">
        <f t="shared" si="0"/>
        <v>2452450.9300000002</v>
      </c>
      <c r="H58" s="216">
        <v>2452450.9300000002</v>
      </c>
      <c r="I58" s="201">
        <f t="shared" si="1"/>
        <v>0</v>
      </c>
      <c r="J58" s="99">
        <v>0</v>
      </c>
      <c r="K58" s="201">
        <v>0</v>
      </c>
      <c r="L58" s="203">
        <v>0</v>
      </c>
      <c r="M58" s="211">
        <f t="shared" si="2"/>
        <v>2452450.9300000002</v>
      </c>
      <c r="N58" s="205">
        <v>0</v>
      </c>
      <c r="O58" s="205">
        <f t="shared" si="3"/>
        <v>0</v>
      </c>
      <c r="P58" s="206" t="s">
        <v>391</v>
      </c>
      <c r="Q58" s="207">
        <f t="shared" si="4"/>
        <v>0</v>
      </c>
      <c r="R58" s="217">
        <v>0</v>
      </c>
      <c r="S58" s="208" t="s">
        <v>86</v>
      </c>
      <c r="T58" s="209">
        <v>1215</v>
      </c>
      <c r="U58" s="210" t="s">
        <v>740</v>
      </c>
      <c r="V58" s="198"/>
      <c r="W58" s="198"/>
      <c r="X58" s="198"/>
    </row>
    <row r="59" spans="1:24" s="32" customFormat="1" ht="98.25" customHeight="1">
      <c r="A59" s="196" t="s">
        <v>250</v>
      </c>
      <c r="B59" s="94">
        <v>43635</v>
      </c>
      <c r="C59" s="198" t="s">
        <v>762</v>
      </c>
      <c r="D59" s="330"/>
      <c r="E59" s="199" t="s">
        <v>763</v>
      </c>
      <c r="F59" s="200" t="s">
        <v>764</v>
      </c>
      <c r="G59" s="201">
        <f t="shared" si="0"/>
        <v>1912872.03</v>
      </c>
      <c r="H59" s="216">
        <v>1912872.03</v>
      </c>
      <c r="I59" s="201">
        <f t="shared" si="1"/>
        <v>0</v>
      </c>
      <c r="J59" s="99">
        <v>0</v>
      </c>
      <c r="K59" s="201">
        <v>0</v>
      </c>
      <c r="L59" s="203">
        <v>0</v>
      </c>
      <c r="M59" s="211">
        <f t="shared" si="2"/>
        <v>1912872.03</v>
      </c>
      <c r="N59" s="205">
        <v>0</v>
      </c>
      <c r="O59" s="205">
        <f t="shared" si="3"/>
        <v>0</v>
      </c>
      <c r="P59" s="206" t="s">
        <v>391</v>
      </c>
      <c r="Q59" s="207">
        <f t="shared" si="4"/>
        <v>0</v>
      </c>
      <c r="R59" s="217">
        <v>0</v>
      </c>
      <c r="S59" s="208" t="s">
        <v>86</v>
      </c>
      <c r="T59" s="209">
        <v>1049.6099999999999</v>
      </c>
      <c r="U59" s="210" t="s">
        <v>740</v>
      </c>
      <c r="V59" s="198"/>
      <c r="W59" s="198"/>
      <c r="X59" s="198"/>
    </row>
    <row r="60" spans="1:24" s="32" customFormat="1" ht="98.25" customHeight="1">
      <c r="A60" s="196" t="s">
        <v>250</v>
      </c>
      <c r="B60" s="94">
        <v>43635</v>
      </c>
      <c r="C60" s="198" t="s">
        <v>765</v>
      </c>
      <c r="D60" s="330"/>
      <c r="E60" s="199" t="s">
        <v>766</v>
      </c>
      <c r="F60" s="200" t="s">
        <v>767</v>
      </c>
      <c r="G60" s="201">
        <f t="shared" si="0"/>
        <v>2927005.77</v>
      </c>
      <c r="H60" s="216">
        <v>2927005.77</v>
      </c>
      <c r="I60" s="201">
        <f t="shared" si="1"/>
        <v>0</v>
      </c>
      <c r="J60" s="99">
        <v>0</v>
      </c>
      <c r="K60" s="201">
        <v>0</v>
      </c>
      <c r="L60" s="203">
        <v>0</v>
      </c>
      <c r="M60" s="211">
        <f t="shared" si="2"/>
        <v>2927005.77</v>
      </c>
      <c r="N60" s="205">
        <v>0</v>
      </c>
      <c r="O60" s="205">
        <f t="shared" si="3"/>
        <v>0</v>
      </c>
      <c r="P60" s="206" t="s">
        <v>391</v>
      </c>
      <c r="Q60" s="207">
        <f t="shared" si="4"/>
        <v>0</v>
      </c>
      <c r="R60" s="217">
        <v>0</v>
      </c>
      <c r="S60" s="208" t="s">
        <v>611</v>
      </c>
      <c r="T60" s="209">
        <v>40</v>
      </c>
      <c r="U60" s="210" t="s">
        <v>321</v>
      </c>
      <c r="V60" s="198"/>
      <c r="W60" s="198"/>
      <c r="X60" s="198"/>
    </row>
    <row r="61" spans="1:24" s="32" customFormat="1" ht="98.25" customHeight="1">
      <c r="A61" s="196" t="s">
        <v>250</v>
      </c>
      <c r="B61" s="94">
        <v>43635</v>
      </c>
      <c r="C61" s="198" t="s">
        <v>768</v>
      </c>
      <c r="D61" s="330"/>
      <c r="E61" s="199" t="s">
        <v>769</v>
      </c>
      <c r="F61" s="200" t="s">
        <v>770</v>
      </c>
      <c r="G61" s="201">
        <f t="shared" si="0"/>
        <v>2707480.39</v>
      </c>
      <c r="H61" s="216">
        <v>2707480.39</v>
      </c>
      <c r="I61" s="201">
        <f t="shared" si="1"/>
        <v>0</v>
      </c>
      <c r="J61" s="99">
        <v>0</v>
      </c>
      <c r="K61" s="201">
        <v>0</v>
      </c>
      <c r="L61" s="203">
        <v>0</v>
      </c>
      <c r="M61" s="211">
        <f t="shared" si="2"/>
        <v>2707480.39</v>
      </c>
      <c r="N61" s="205">
        <v>0</v>
      </c>
      <c r="O61" s="205">
        <f t="shared" si="3"/>
        <v>0</v>
      </c>
      <c r="P61" s="206" t="s">
        <v>391</v>
      </c>
      <c r="Q61" s="207">
        <f t="shared" si="4"/>
        <v>0</v>
      </c>
      <c r="R61" s="217">
        <v>0</v>
      </c>
      <c r="S61" s="208" t="s">
        <v>611</v>
      </c>
      <c r="T61" s="209">
        <v>37</v>
      </c>
      <c r="U61" s="210" t="s">
        <v>267</v>
      </c>
      <c r="V61" s="198"/>
      <c r="W61" s="198"/>
      <c r="X61" s="198"/>
    </row>
    <row r="62" spans="1:24" s="32" customFormat="1" ht="98.25" customHeight="1">
      <c r="A62" s="196" t="s">
        <v>250</v>
      </c>
      <c r="B62" s="94">
        <v>43635</v>
      </c>
      <c r="C62" s="198" t="s">
        <v>771</v>
      </c>
      <c r="D62" s="330"/>
      <c r="E62" s="199" t="s">
        <v>772</v>
      </c>
      <c r="F62" s="200" t="s">
        <v>773</v>
      </c>
      <c r="G62" s="201">
        <f t="shared" si="0"/>
        <v>2268429.4700000002</v>
      </c>
      <c r="H62" s="216">
        <v>2268429.4700000002</v>
      </c>
      <c r="I62" s="201">
        <f t="shared" si="1"/>
        <v>0</v>
      </c>
      <c r="J62" s="99">
        <v>0</v>
      </c>
      <c r="K62" s="201">
        <v>0</v>
      </c>
      <c r="L62" s="203">
        <v>0</v>
      </c>
      <c r="M62" s="211">
        <f t="shared" si="2"/>
        <v>2268429.4700000002</v>
      </c>
      <c r="N62" s="205">
        <v>0</v>
      </c>
      <c r="O62" s="205">
        <f t="shared" si="3"/>
        <v>0</v>
      </c>
      <c r="P62" s="206" t="s">
        <v>391</v>
      </c>
      <c r="Q62" s="207">
        <f t="shared" si="4"/>
        <v>0</v>
      </c>
      <c r="R62" s="217">
        <v>0</v>
      </c>
      <c r="S62" s="208" t="s">
        <v>611</v>
      </c>
      <c r="T62" s="209">
        <v>31</v>
      </c>
      <c r="U62" s="210" t="s">
        <v>270</v>
      </c>
      <c r="V62" s="198"/>
      <c r="W62" s="198"/>
      <c r="X62" s="198"/>
    </row>
    <row r="63" spans="1:24" s="32" customFormat="1" ht="98.25" customHeight="1">
      <c r="A63" s="196" t="s">
        <v>250</v>
      </c>
      <c r="B63" s="94">
        <v>43635</v>
      </c>
      <c r="C63" s="198" t="s">
        <v>774</v>
      </c>
      <c r="D63" s="330"/>
      <c r="E63" s="199" t="s">
        <v>775</v>
      </c>
      <c r="F63" s="200" t="s">
        <v>776</v>
      </c>
      <c r="G63" s="201">
        <f t="shared" si="0"/>
        <v>2122079.23</v>
      </c>
      <c r="H63" s="216">
        <v>2122079.23</v>
      </c>
      <c r="I63" s="201">
        <f t="shared" si="1"/>
        <v>0</v>
      </c>
      <c r="J63" s="99">
        <v>0</v>
      </c>
      <c r="K63" s="201">
        <v>0</v>
      </c>
      <c r="L63" s="203">
        <v>0</v>
      </c>
      <c r="M63" s="211">
        <f t="shared" si="2"/>
        <v>2122079.23</v>
      </c>
      <c r="N63" s="205">
        <v>0</v>
      </c>
      <c r="O63" s="205">
        <f t="shared" si="3"/>
        <v>0</v>
      </c>
      <c r="P63" s="206" t="s">
        <v>391</v>
      </c>
      <c r="Q63" s="207">
        <f t="shared" si="4"/>
        <v>0</v>
      </c>
      <c r="R63" s="217">
        <v>0</v>
      </c>
      <c r="S63" s="208" t="s">
        <v>611</v>
      </c>
      <c r="T63" s="209">
        <v>29</v>
      </c>
      <c r="U63" s="210" t="s">
        <v>144</v>
      </c>
      <c r="V63" s="198"/>
      <c r="W63" s="198"/>
      <c r="X63" s="198"/>
    </row>
    <row r="64" spans="1:24" s="32" customFormat="1" ht="88.5" customHeight="1">
      <c r="A64" s="196" t="s">
        <v>250</v>
      </c>
      <c r="B64" s="94">
        <v>43635</v>
      </c>
      <c r="C64" s="198" t="s">
        <v>777</v>
      </c>
      <c r="D64" s="330"/>
      <c r="E64" s="199" t="s">
        <v>778</v>
      </c>
      <c r="F64" s="200" t="s">
        <v>779</v>
      </c>
      <c r="G64" s="201">
        <f t="shared" si="0"/>
        <v>2853830.65</v>
      </c>
      <c r="H64" s="216">
        <v>2853830.65</v>
      </c>
      <c r="I64" s="201">
        <f t="shared" si="1"/>
        <v>0</v>
      </c>
      <c r="J64" s="99">
        <v>0</v>
      </c>
      <c r="K64" s="201">
        <v>0</v>
      </c>
      <c r="L64" s="203">
        <v>0</v>
      </c>
      <c r="M64" s="211">
        <f t="shared" si="2"/>
        <v>2853830.65</v>
      </c>
      <c r="N64" s="205">
        <v>0</v>
      </c>
      <c r="O64" s="205">
        <f t="shared" si="3"/>
        <v>0</v>
      </c>
      <c r="P64" s="206" t="s">
        <v>391</v>
      </c>
      <c r="Q64" s="207">
        <f t="shared" si="4"/>
        <v>0</v>
      </c>
      <c r="R64" s="217">
        <v>0</v>
      </c>
      <c r="S64" s="208" t="s">
        <v>611</v>
      </c>
      <c r="T64" s="209">
        <v>39</v>
      </c>
      <c r="U64" s="210" t="s">
        <v>612</v>
      </c>
      <c r="V64" s="198"/>
      <c r="W64" s="198"/>
      <c r="X64" s="198"/>
    </row>
    <row r="65" spans="1:24" s="32" customFormat="1" ht="83.25" customHeight="1">
      <c r="A65" s="196" t="s">
        <v>250</v>
      </c>
      <c r="B65" s="94">
        <v>43635</v>
      </c>
      <c r="C65" s="198" t="s">
        <v>780</v>
      </c>
      <c r="D65" s="330"/>
      <c r="E65" s="199" t="s">
        <v>781</v>
      </c>
      <c r="F65" s="200" t="s">
        <v>782</v>
      </c>
      <c r="G65" s="201">
        <f t="shared" si="0"/>
        <v>1975728.92</v>
      </c>
      <c r="H65" s="216">
        <v>1975728.92</v>
      </c>
      <c r="I65" s="201">
        <f t="shared" si="1"/>
        <v>0</v>
      </c>
      <c r="J65" s="99">
        <v>0</v>
      </c>
      <c r="K65" s="201">
        <v>0</v>
      </c>
      <c r="L65" s="203">
        <v>0</v>
      </c>
      <c r="M65" s="211">
        <f t="shared" si="2"/>
        <v>1975728.92</v>
      </c>
      <c r="N65" s="205">
        <v>0</v>
      </c>
      <c r="O65" s="205">
        <f t="shared" si="3"/>
        <v>0</v>
      </c>
      <c r="P65" s="206" t="s">
        <v>391</v>
      </c>
      <c r="Q65" s="207">
        <f t="shared" si="4"/>
        <v>0</v>
      </c>
      <c r="R65" s="217">
        <v>0</v>
      </c>
      <c r="S65" s="208" t="s">
        <v>611</v>
      </c>
      <c r="T65" s="209">
        <v>27</v>
      </c>
      <c r="U65" s="210" t="s">
        <v>137</v>
      </c>
      <c r="V65" s="198"/>
      <c r="W65" s="198"/>
      <c r="X65" s="198"/>
    </row>
    <row r="66" spans="1:24" s="32" customFormat="1" ht="78.75" customHeight="1">
      <c r="A66" s="196" t="s">
        <v>250</v>
      </c>
      <c r="B66" s="94">
        <v>43635</v>
      </c>
      <c r="C66" s="198" t="s">
        <v>783</v>
      </c>
      <c r="D66" s="330"/>
      <c r="E66" s="199" t="s">
        <v>784</v>
      </c>
      <c r="F66" s="200" t="s">
        <v>785</v>
      </c>
      <c r="G66" s="201">
        <f t="shared" si="0"/>
        <v>2414779.7799999998</v>
      </c>
      <c r="H66" s="216">
        <v>2414779.7799999998</v>
      </c>
      <c r="I66" s="201">
        <f t="shared" si="1"/>
        <v>0</v>
      </c>
      <c r="J66" s="99">
        <v>0</v>
      </c>
      <c r="K66" s="201">
        <v>0</v>
      </c>
      <c r="L66" s="203">
        <v>0</v>
      </c>
      <c r="M66" s="211">
        <f t="shared" si="2"/>
        <v>2414779.7799999998</v>
      </c>
      <c r="N66" s="205">
        <v>0</v>
      </c>
      <c r="O66" s="205">
        <f t="shared" si="3"/>
        <v>0</v>
      </c>
      <c r="P66" s="206" t="s">
        <v>391</v>
      </c>
      <c r="Q66" s="207">
        <f t="shared" si="4"/>
        <v>0</v>
      </c>
      <c r="R66" s="217">
        <v>0</v>
      </c>
      <c r="S66" s="208" t="s">
        <v>611</v>
      </c>
      <c r="T66" s="209">
        <v>33</v>
      </c>
      <c r="U66" s="210" t="s">
        <v>150</v>
      </c>
      <c r="V66" s="198"/>
      <c r="W66" s="198"/>
      <c r="X66" s="198"/>
    </row>
    <row r="67" spans="1:24" s="32" customFormat="1" ht="81" customHeight="1">
      <c r="A67" s="196" t="s">
        <v>250</v>
      </c>
      <c r="B67" s="94">
        <v>43635</v>
      </c>
      <c r="C67" s="198" t="s">
        <v>786</v>
      </c>
      <c r="D67" s="330"/>
      <c r="E67" s="199" t="s">
        <v>787</v>
      </c>
      <c r="F67" s="200" t="s">
        <v>788</v>
      </c>
      <c r="G67" s="201">
        <f t="shared" si="0"/>
        <v>1170802.3</v>
      </c>
      <c r="H67" s="216">
        <v>1170802.3</v>
      </c>
      <c r="I67" s="201">
        <f t="shared" si="1"/>
        <v>0</v>
      </c>
      <c r="J67" s="99">
        <v>0</v>
      </c>
      <c r="K67" s="201">
        <v>0</v>
      </c>
      <c r="L67" s="203">
        <v>0</v>
      </c>
      <c r="M67" s="211">
        <f t="shared" si="2"/>
        <v>1170802.3</v>
      </c>
      <c r="N67" s="205">
        <v>0</v>
      </c>
      <c r="O67" s="205">
        <f t="shared" si="3"/>
        <v>0</v>
      </c>
      <c r="P67" s="206" t="s">
        <v>391</v>
      </c>
      <c r="Q67" s="207">
        <f t="shared" si="4"/>
        <v>0</v>
      </c>
      <c r="R67" s="217">
        <v>0</v>
      </c>
      <c r="S67" s="208" t="s">
        <v>611</v>
      </c>
      <c r="T67" s="209">
        <v>16</v>
      </c>
      <c r="U67" s="210" t="s">
        <v>109</v>
      </c>
      <c r="V67" s="198"/>
      <c r="W67" s="198"/>
      <c r="X67" s="198"/>
    </row>
    <row r="68" spans="1:24" s="32" customFormat="1" ht="72.75" customHeight="1">
      <c r="A68" s="196" t="s">
        <v>250</v>
      </c>
      <c r="B68" s="94">
        <v>43635</v>
      </c>
      <c r="C68" s="198" t="s">
        <v>789</v>
      </c>
      <c r="D68" s="330"/>
      <c r="E68" s="199" t="s">
        <v>790</v>
      </c>
      <c r="F68" s="200" t="s">
        <v>791</v>
      </c>
      <c r="G68" s="201">
        <f t="shared" si="0"/>
        <v>2625699.8199999998</v>
      </c>
      <c r="H68" s="216">
        <v>2625699.8199999998</v>
      </c>
      <c r="I68" s="201">
        <f t="shared" si="1"/>
        <v>0</v>
      </c>
      <c r="J68" s="99">
        <v>0</v>
      </c>
      <c r="K68" s="201">
        <v>0</v>
      </c>
      <c r="L68" s="203">
        <v>0</v>
      </c>
      <c r="M68" s="211">
        <f t="shared" si="2"/>
        <v>2625699.8199999998</v>
      </c>
      <c r="N68" s="205">
        <v>0</v>
      </c>
      <c r="O68" s="205">
        <f t="shared" si="3"/>
        <v>0</v>
      </c>
      <c r="P68" s="206" t="s">
        <v>391</v>
      </c>
      <c r="Q68" s="207">
        <f t="shared" si="4"/>
        <v>0</v>
      </c>
      <c r="R68" s="217">
        <v>0</v>
      </c>
      <c r="S68" s="208" t="s">
        <v>611</v>
      </c>
      <c r="T68" s="209">
        <v>69</v>
      </c>
      <c r="U68" s="210" t="s">
        <v>792</v>
      </c>
      <c r="V68" s="198"/>
      <c r="W68" s="198"/>
      <c r="X68" s="198"/>
    </row>
    <row r="69" spans="1:24" s="32" customFormat="1" ht="72" customHeight="1">
      <c r="A69" s="196" t="s">
        <v>250</v>
      </c>
      <c r="B69" s="94">
        <v>43635</v>
      </c>
      <c r="C69" s="198" t="s">
        <v>793</v>
      </c>
      <c r="D69" s="330"/>
      <c r="E69" s="199" t="s">
        <v>794</v>
      </c>
      <c r="F69" s="200" t="s">
        <v>795</v>
      </c>
      <c r="G69" s="201">
        <f t="shared" si="0"/>
        <v>1422875.56</v>
      </c>
      <c r="H69" s="216">
        <v>1422875.56</v>
      </c>
      <c r="I69" s="201">
        <f t="shared" si="1"/>
        <v>0</v>
      </c>
      <c r="J69" s="99">
        <v>0</v>
      </c>
      <c r="K69" s="201">
        <v>0</v>
      </c>
      <c r="L69" s="203">
        <v>0</v>
      </c>
      <c r="M69" s="211">
        <f t="shared" si="2"/>
        <v>1422875.56</v>
      </c>
      <c r="N69" s="205">
        <v>0</v>
      </c>
      <c r="O69" s="205">
        <f t="shared" si="3"/>
        <v>0</v>
      </c>
      <c r="P69" s="206" t="s">
        <v>391</v>
      </c>
      <c r="Q69" s="207">
        <f t="shared" si="4"/>
        <v>0</v>
      </c>
      <c r="R69" s="217">
        <v>0</v>
      </c>
      <c r="S69" s="208" t="s">
        <v>611</v>
      </c>
      <c r="T69" s="209">
        <v>30</v>
      </c>
      <c r="U69" s="210" t="s">
        <v>147</v>
      </c>
      <c r="V69" s="198"/>
      <c r="W69" s="198"/>
      <c r="X69" s="198"/>
    </row>
    <row r="70" spans="1:24" s="32" customFormat="1" ht="81" customHeight="1">
      <c r="A70" s="196" t="s">
        <v>446</v>
      </c>
      <c r="B70" s="94">
        <v>43564</v>
      </c>
      <c r="C70" s="198" t="s">
        <v>447</v>
      </c>
      <c r="D70" s="330" t="s">
        <v>796</v>
      </c>
      <c r="E70" s="199" t="s">
        <v>448</v>
      </c>
      <c r="F70" s="200" t="s">
        <v>449</v>
      </c>
      <c r="G70" s="201">
        <f t="shared" si="0"/>
        <v>18016525.120000001</v>
      </c>
      <c r="H70" s="216">
        <v>18016525.120000001</v>
      </c>
      <c r="I70" s="201">
        <f t="shared" si="1"/>
        <v>8997558.8399999999</v>
      </c>
      <c r="J70" s="213">
        <v>8997558.8399999999</v>
      </c>
      <c r="K70" s="201">
        <v>0</v>
      </c>
      <c r="L70" s="203">
        <v>0</v>
      </c>
      <c r="M70" s="211">
        <f t="shared" si="2"/>
        <v>9018966.2800000012</v>
      </c>
      <c r="N70" s="205">
        <v>0</v>
      </c>
      <c r="O70" s="205">
        <f t="shared" si="3"/>
        <v>8997558.8399999999</v>
      </c>
      <c r="P70" s="206" t="s">
        <v>391</v>
      </c>
      <c r="Q70" s="207">
        <f t="shared" si="4"/>
        <v>0.49940589431487437</v>
      </c>
      <c r="R70" s="217">
        <v>0</v>
      </c>
      <c r="S70" s="208" t="s">
        <v>450</v>
      </c>
      <c r="T70" s="209">
        <v>1937</v>
      </c>
      <c r="U70" s="210" t="s">
        <v>451</v>
      </c>
      <c r="V70" s="198" t="s">
        <v>797</v>
      </c>
      <c r="W70" s="198" t="s">
        <v>518</v>
      </c>
      <c r="X70" s="198" t="s">
        <v>798</v>
      </c>
    </row>
    <row r="71" spans="1:24" s="32" customFormat="1" ht="58.5" customHeight="1">
      <c r="A71" s="196" t="s">
        <v>387</v>
      </c>
      <c r="B71" s="94">
        <v>43557</v>
      </c>
      <c r="C71" s="198" t="s">
        <v>452</v>
      </c>
      <c r="D71" s="330" t="s">
        <v>796</v>
      </c>
      <c r="E71" s="199" t="s">
        <v>453</v>
      </c>
      <c r="F71" s="200" t="s">
        <v>454</v>
      </c>
      <c r="G71" s="201">
        <f t="shared" si="0"/>
        <v>903306.27</v>
      </c>
      <c r="H71" s="216">
        <v>903306.27</v>
      </c>
      <c r="I71" s="201">
        <f t="shared" si="1"/>
        <v>207951.75</v>
      </c>
      <c r="J71" s="213">
        <v>207951.75</v>
      </c>
      <c r="K71" s="201">
        <v>0</v>
      </c>
      <c r="L71" s="203">
        <v>0</v>
      </c>
      <c r="M71" s="211">
        <f t="shared" si="2"/>
        <v>695354.52</v>
      </c>
      <c r="N71" s="205">
        <v>0</v>
      </c>
      <c r="O71" s="205">
        <f t="shared" si="3"/>
        <v>207951.75</v>
      </c>
      <c r="P71" s="206" t="s">
        <v>391</v>
      </c>
      <c r="Q71" s="207">
        <f t="shared" si="4"/>
        <v>0.23021178630809239</v>
      </c>
      <c r="R71" s="217">
        <v>0</v>
      </c>
      <c r="S71" s="208" t="s">
        <v>455</v>
      </c>
      <c r="T71" s="209">
        <v>1</v>
      </c>
      <c r="U71" s="210" t="s">
        <v>456</v>
      </c>
      <c r="V71" s="198"/>
      <c r="W71" s="198"/>
      <c r="X71" s="198"/>
    </row>
    <row r="72" spans="1:24" s="32" customFormat="1" ht="82.5" customHeight="1">
      <c r="A72" s="196" t="s">
        <v>446</v>
      </c>
      <c r="B72" s="94">
        <v>43564</v>
      </c>
      <c r="C72" s="198" t="s">
        <v>457</v>
      </c>
      <c r="D72" s="330" t="s">
        <v>796</v>
      </c>
      <c r="E72" s="199" t="s">
        <v>458</v>
      </c>
      <c r="F72" s="200" t="s">
        <v>459</v>
      </c>
      <c r="G72" s="201">
        <f t="shared" si="0"/>
        <v>1514088.37</v>
      </c>
      <c r="H72" s="216">
        <v>1514088.37</v>
      </c>
      <c r="I72" s="201">
        <f t="shared" si="1"/>
        <v>100533.28</v>
      </c>
      <c r="J72" s="213">
        <v>100533.28</v>
      </c>
      <c r="K72" s="201">
        <v>0</v>
      </c>
      <c r="L72" s="203">
        <v>0</v>
      </c>
      <c r="M72" s="211">
        <f t="shared" si="2"/>
        <v>1413555.09</v>
      </c>
      <c r="N72" s="205">
        <v>0</v>
      </c>
      <c r="O72" s="205">
        <f t="shared" si="3"/>
        <v>100533.28</v>
      </c>
      <c r="P72" s="206" t="s">
        <v>391</v>
      </c>
      <c r="Q72" s="207">
        <f t="shared" si="4"/>
        <v>6.6398555059240028E-2</v>
      </c>
      <c r="R72" s="217">
        <v>0</v>
      </c>
      <c r="S72" s="208" t="s">
        <v>460</v>
      </c>
      <c r="T72" s="209">
        <v>1</v>
      </c>
      <c r="U72" s="210" t="s">
        <v>461</v>
      </c>
      <c r="V72" s="198"/>
      <c r="W72" s="198"/>
      <c r="X72" s="198"/>
    </row>
    <row r="73" spans="1:24" s="231" customFormat="1" ht="36" customHeight="1" thickBot="1">
      <c r="A73" s="443"/>
      <c r="B73" s="443"/>
      <c r="C73" s="443"/>
      <c r="D73" s="443"/>
      <c r="E73" s="443"/>
      <c r="F73" s="443"/>
      <c r="G73" s="218"/>
      <c r="H73" s="219"/>
      <c r="I73" s="220"/>
      <c r="J73" s="221"/>
      <c r="K73" s="222"/>
      <c r="L73" s="223"/>
      <c r="M73" s="222"/>
      <c r="N73" s="222"/>
      <c r="O73" s="224"/>
      <c r="P73" s="225"/>
      <c r="Q73" s="226"/>
      <c r="R73" s="226"/>
      <c r="S73" s="227"/>
      <c r="T73" s="228"/>
      <c r="U73" s="229"/>
      <c r="V73" s="230"/>
      <c r="W73" s="230"/>
      <c r="X73" s="230"/>
    </row>
    <row r="74" spans="1:24" s="231" customFormat="1" ht="14.25" thickTop="1" thickBot="1">
      <c r="A74" s="232"/>
      <c r="B74" s="233"/>
      <c r="C74" s="230"/>
      <c r="D74" s="234"/>
      <c r="E74" s="234"/>
      <c r="F74" s="235" t="s">
        <v>37</v>
      </c>
      <c r="G74" s="236">
        <f>SUM(G15:G73)</f>
        <v>125082993.08999999</v>
      </c>
      <c r="H74" s="237">
        <f>SUM(H15:H72)</f>
        <v>125082993.08999999</v>
      </c>
      <c r="I74" s="237">
        <f>SUM(I15:I73)</f>
        <v>18578094.950000003</v>
      </c>
      <c r="J74" s="237">
        <f>SUM(J15:J73)</f>
        <v>18578094.950000003</v>
      </c>
      <c r="K74" s="237"/>
      <c r="L74" s="237">
        <f>SUM(L15:L73)</f>
        <v>0</v>
      </c>
      <c r="M74" s="237">
        <f>SUM(M15:M72)</f>
        <v>106504898.14</v>
      </c>
      <c r="N74" s="237">
        <f>SUM(N15:N72)</f>
        <v>0</v>
      </c>
      <c r="O74" s="237">
        <f>SUM(O15:O72)</f>
        <v>18578094.950000003</v>
      </c>
      <c r="P74" s="226"/>
      <c r="Q74" s="226"/>
      <c r="R74" s="238"/>
      <c r="S74" s="239"/>
      <c r="T74" s="228"/>
      <c r="U74" s="229"/>
      <c r="V74" s="230"/>
      <c r="W74" s="230"/>
      <c r="X74" s="230"/>
    </row>
    <row r="75" spans="1:24" s="231" customFormat="1" ht="18.75" customHeight="1" thickTop="1">
      <c r="A75" s="240" t="s">
        <v>38</v>
      </c>
      <c r="I75" s="241"/>
      <c r="J75" s="221"/>
      <c r="S75" s="242"/>
      <c r="T75" s="243"/>
    </row>
    <row r="76" spans="1:24">
      <c r="I76" s="13">
        <f>[1]Sheet0!$AF$14258</f>
        <v>0</v>
      </c>
    </row>
  </sheetData>
  <mergeCells count="10">
    <mergeCell ref="A73:F73"/>
    <mergeCell ref="A9:B9"/>
    <mergeCell ref="A10:B10"/>
    <mergeCell ref="A2:B5"/>
    <mergeCell ref="C2:W3"/>
    <mergeCell ref="C4:W4"/>
    <mergeCell ref="C5:W5"/>
    <mergeCell ref="A7:B7"/>
    <mergeCell ref="A8:B8"/>
    <mergeCell ref="S14:T14"/>
  </mergeCells>
  <printOptions horizontalCentered="1"/>
  <pageMargins left="0.31496062992125984" right="0.31496062992125984" top="0.74803149606299213" bottom="0.74803149606299213" header="0.31496062992125984" footer="0.31496062992125984"/>
  <pageSetup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27"/>
  <sheetViews>
    <sheetView workbookViewId="0">
      <selection activeCell="Y19" sqref="Y19"/>
    </sheetView>
  </sheetViews>
  <sheetFormatPr baseColWidth="10" defaultRowHeight="15"/>
  <cols>
    <col min="2" max="2" width="12.140625" customWidth="1"/>
    <col min="3" max="3" width="12.7109375" customWidth="1"/>
    <col min="4" max="4" width="0" hidden="1" customWidth="1"/>
    <col min="5" max="5" width="7.140625" customWidth="1"/>
    <col min="6" max="6" width="34.5703125" customWidth="1"/>
    <col min="7" max="7" width="14" customWidth="1"/>
    <col min="8" max="11" width="0" hidden="1" customWidth="1"/>
    <col min="12" max="12" width="12.5703125" customWidth="1"/>
    <col min="13" max="13" width="11.42578125" customWidth="1"/>
    <col min="14" max="16" width="11.42578125" hidden="1" customWidth="1"/>
    <col min="17" max="17" width="11.5703125" customWidth="1"/>
    <col min="18" max="22" width="0" hidden="1" customWidth="1"/>
    <col min="23" max="23" width="10.85546875" style="294" customWidth="1"/>
    <col min="24" max="24" width="11.5703125" style="294" bestFit="1" customWidth="1"/>
    <col min="26" max="26" width="12.85546875" bestFit="1" customWidth="1"/>
    <col min="27" max="27" width="11.5703125" bestFit="1" customWidth="1"/>
  </cols>
  <sheetData>
    <row r="2" spans="1:30" ht="51" customHeight="1">
      <c r="A2" s="418"/>
      <c r="B2" s="418"/>
      <c r="C2" s="421" t="s">
        <v>52</v>
      </c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</row>
    <row r="3" spans="1:30" ht="51" customHeight="1">
      <c r="A3" s="418"/>
      <c r="B3" s="418"/>
      <c r="C3" s="422" t="s">
        <v>542</v>
      </c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</row>
    <row r="6" spans="1:30">
      <c r="A6" s="470" t="s">
        <v>39</v>
      </c>
      <c r="B6" s="471"/>
      <c r="C6" s="464">
        <f>G20</f>
        <v>39682222.799999997</v>
      </c>
      <c r="D6" s="464"/>
      <c r="E6" s="465"/>
    </row>
    <row r="7" spans="1:30">
      <c r="A7" s="455" t="s">
        <v>379</v>
      </c>
      <c r="B7" s="456"/>
      <c r="C7" s="466">
        <f>G20</f>
        <v>39682222.799999997</v>
      </c>
      <c r="D7" s="466"/>
      <c r="E7" s="467"/>
    </row>
    <row r="8" spans="1:30">
      <c r="A8" s="455" t="s">
        <v>5</v>
      </c>
      <c r="B8" s="456"/>
      <c r="C8" s="466">
        <f>SUM(L20:M20)</f>
        <v>6640432.9100000001</v>
      </c>
      <c r="D8" s="466"/>
      <c r="E8" s="467"/>
    </row>
    <row r="9" spans="1:30">
      <c r="A9" s="457" t="s">
        <v>12</v>
      </c>
      <c r="B9" s="458"/>
      <c r="C9" s="468">
        <f>Q20</f>
        <v>33041789.890000001</v>
      </c>
      <c r="D9" s="468"/>
      <c r="E9" s="469"/>
    </row>
    <row r="11" spans="1:30" ht="16.5" thickBot="1">
      <c r="A11" s="155"/>
      <c r="B11" s="156"/>
      <c r="C11" s="156"/>
      <c r="D11" s="156"/>
      <c r="E11" s="156"/>
      <c r="L11" s="25"/>
      <c r="S11" s="245"/>
      <c r="U11" s="245"/>
      <c r="AD11" s="326" t="s">
        <v>681</v>
      </c>
    </row>
    <row r="12" spans="1:30" ht="16.5" thickTop="1" thickBot="1">
      <c r="A12" s="246"/>
      <c r="B12" s="246"/>
      <c r="C12" s="246"/>
      <c r="D12" s="246"/>
      <c r="E12" s="246"/>
      <c r="F12" s="246"/>
      <c r="G12" s="459" t="s">
        <v>13</v>
      </c>
      <c r="H12" s="460"/>
      <c r="I12" s="460"/>
      <c r="J12" s="460"/>
      <c r="K12" s="461"/>
      <c r="L12" s="459" t="s">
        <v>14</v>
      </c>
      <c r="M12" s="460"/>
      <c r="N12" s="460"/>
      <c r="O12" s="460"/>
      <c r="P12" s="461"/>
      <c r="Q12" s="431" t="s">
        <v>15</v>
      </c>
      <c r="R12" s="432"/>
      <c r="S12" s="432"/>
      <c r="T12" s="432"/>
      <c r="U12" s="433"/>
      <c r="V12" s="247"/>
      <c r="W12" s="250"/>
      <c r="X12" s="250"/>
      <c r="Y12" s="249"/>
      <c r="Z12" s="249"/>
      <c r="AA12" s="249"/>
      <c r="AB12" s="250"/>
      <c r="AC12" s="248"/>
      <c r="AD12" s="248"/>
    </row>
    <row r="13" spans="1:30" ht="34.5" customHeight="1" thickBot="1">
      <c r="A13" s="251" t="s">
        <v>280</v>
      </c>
      <c r="B13" s="251" t="s">
        <v>17</v>
      </c>
      <c r="C13" s="252" t="s">
        <v>18</v>
      </c>
      <c r="D13" s="253" t="s">
        <v>19</v>
      </c>
      <c r="E13" s="253" t="s">
        <v>77</v>
      </c>
      <c r="F13" s="253" t="s">
        <v>21</v>
      </c>
      <c r="G13" s="253" t="s">
        <v>22</v>
      </c>
      <c r="H13" s="253" t="s">
        <v>23</v>
      </c>
      <c r="I13" s="253" t="s">
        <v>514</v>
      </c>
      <c r="J13" s="253" t="s">
        <v>515</v>
      </c>
      <c r="K13" s="253" t="s">
        <v>78</v>
      </c>
      <c r="L13" s="254" t="s">
        <v>801</v>
      </c>
      <c r="M13" s="253" t="s">
        <v>800</v>
      </c>
      <c r="N13" s="253" t="s">
        <v>514</v>
      </c>
      <c r="O13" s="253" t="s">
        <v>515</v>
      </c>
      <c r="P13" s="253" t="s">
        <v>78</v>
      </c>
      <c r="Q13" s="253" t="s">
        <v>22</v>
      </c>
      <c r="R13" s="253" t="s">
        <v>23</v>
      </c>
      <c r="S13" s="253" t="s">
        <v>514</v>
      </c>
      <c r="T13" s="253" t="s">
        <v>515</v>
      </c>
      <c r="U13" s="253" t="s">
        <v>78</v>
      </c>
      <c r="V13" s="253" t="s">
        <v>24</v>
      </c>
      <c r="W13" s="253" t="s">
        <v>25</v>
      </c>
      <c r="X13" s="253" t="s">
        <v>26</v>
      </c>
      <c r="Y13" s="462" t="s">
        <v>27</v>
      </c>
      <c r="Z13" s="463"/>
      <c r="AA13" s="253" t="s">
        <v>28</v>
      </c>
      <c r="AB13" s="253" t="s">
        <v>29</v>
      </c>
      <c r="AC13" s="253" t="s">
        <v>30</v>
      </c>
      <c r="AD13" s="255" t="s">
        <v>31</v>
      </c>
    </row>
    <row r="14" spans="1:30" s="85" customFormat="1" ht="65.099999999999994" customHeight="1">
      <c r="A14" s="298" t="s">
        <v>139</v>
      </c>
      <c r="B14" s="270">
        <v>43565</v>
      </c>
      <c r="C14" s="299" t="s">
        <v>522</v>
      </c>
      <c r="D14" s="300" t="s">
        <v>363</v>
      </c>
      <c r="E14" s="300" t="s">
        <v>523</v>
      </c>
      <c r="F14" s="301" t="s">
        <v>524</v>
      </c>
      <c r="G14" s="302">
        <f>H14+I14+J14+K14</f>
        <v>1637017</v>
      </c>
      <c r="H14" s="303">
        <v>0</v>
      </c>
      <c r="I14" s="303"/>
      <c r="J14" s="303"/>
      <c r="K14" s="303">
        <v>1637017</v>
      </c>
      <c r="L14" s="302">
        <f>+M14+N14+O14+P14</f>
        <v>0</v>
      </c>
      <c r="M14" s="302">
        <v>0</v>
      </c>
      <c r="N14" s="302"/>
      <c r="O14" s="303"/>
      <c r="P14" s="303">
        <v>0</v>
      </c>
      <c r="Q14" s="302">
        <f>+G14-L14-S14-T14</f>
        <v>1637017</v>
      </c>
      <c r="R14" s="304">
        <f t="shared" ref="R14:R19" si="0">H14-M14</f>
        <v>0</v>
      </c>
      <c r="S14" s="305"/>
      <c r="T14" s="305"/>
      <c r="U14" s="305">
        <v>0</v>
      </c>
      <c r="V14" s="306" t="s">
        <v>282</v>
      </c>
      <c r="W14" s="307">
        <f t="shared" ref="W14:W19" si="1">L14/G14</f>
        <v>0</v>
      </c>
      <c r="X14" s="308">
        <f>W14</f>
        <v>0</v>
      </c>
      <c r="Y14" s="159" t="s">
        <v>530</v>
      </c>
      <c r="Z14" s="309">
        <v>4</v>
      </c>
      <c r="AA14" s="310" t="s">
        <v>282</v>
      </c>
      <c r="AB14" s="310" t="s">
        <v>282</v>
      </c>
      <c r="AC14" s="310" t="s">
        <v>282</v>
      </c>
      <c r="AD14" s="310" t="s">
        <v>282</v>
      </c>
    </row>
    <row r="15" spans="1:30" s="85" customFormat="1" ht="76.5" customHeight="1">
      <c r="A15" s="311" t="s">
        <v>139</v>
      </c>
      <c r="B15" s="270">
        <v>43565</v>
      </c>
      <c r="C15" s="312" t="s">
        <v>522</v>
      </c>
      <c r="D15" s="271" t="s">
        <v>363</v>
      </c>
      <c r="E15" s="271" t="s">
        <v>525</v>
      </c>
      <c r="F15" s="272" t="s">
        <v>526</v>
      </c>
      <c r="G15" s="99">
        <f>H15+I15+J15+K15</f>
        <v>4213117</v>
      </c>
      <c r="H15" s="100">
        <v>0</v>
      </c>
      <c r="I15" s="100"/>
      <c r="J15" s="100"/>
      <c r="K15" s="100">
        <v>4213117</v>
      </c>
      <c r="L15" s="99">
        <v>4213117</v>
      </c>
      <c r="M15" s="99">
        <v>0</v>
      </c>
      <c r="N15" s="99"/>
      <c r="O15" s="100"/>
      <c r="P15" s="100">
        <v>0</v>
      </c>
      <c r="Q15" s="99">
        <f>+G15-L15-S15-T15</f>
        <v>0</v>
      </c>
      <c r="R15" s="274">
        <f t="shared" si="0"/>
        <v>0</v>
      </c>
      <c r="S15" s="275"/>
      <c r="T15" s="275"/>
      <c r="U15" s="275">
        <v>0</v>
      </c>
      <c r="V15" s="104" t="s">
        <v>282</v>
      </c>
      <c r="W15" s="144">
        <f t="shared" si="1"/>
        <v>1</v>
      </c>
      <c r="X15" s="313">
        <f t="shared" ref="X15:X19" si="2">W15</f>
        <v>1</v>
      </c>
      <c r="Y15" s="159" t="s">
        <v>527</v>
      </c>
      <c r="Z15" s="314">
        <v>589</v>
      </c>
      <c r="AA15" s="277">
        <v>589</v>
      </c>
      <c r="AB15" s="277" t="s">
        <v>282</v>
      </c>
      <c r="AC15" s="257" t="s">
        <v>546</v>
      </c>
      <c r="AD15" s="257" t="s">
        <v>547</v>
      </c>
    </row>
    <row r="16" spans="1:30" s="85" customFormat="1" ht="65.099999999999994" customHeight="1">
      <c r="A16" s="311" t="s">
        <v>139</v>
      </c>
      <c r="B16" s="270">
        <v>43565</v>
      </c>
      <c r="C16" s="312" t="s">
        <v>522</v>
      </c>
      <c r="D16" s="271" t="s">
        <v>363</v>
      </c>
      <c r="E16" s="271" t="s">
        <v>528</v>
      </c>
      <c r="F16" s="272" t="s">
        <v>529</v>
      </c>
      <c r="G16" s="99">
        <f>K16</f>
        <v>5953200</v>
      </c>
      <c r="H16" s="100">
        <v>0</v>
      </c>
      <c r="I16" s="100"/>
      <c r="J16" s="100"/>
      <c r="K16" s="100">
        <v>5953200</v>
      </c>
      <c r="L16" s="99">
        <f>+M16+N16+O16+P16</f>
        <v>0</v>
      </c>
      <c r="M16" s="99">
        <v>0</v>
      </c>
      <c r="N16" s="99"/>
      <c r="O16" s="100"/>
      <c r="P16" s="100">
        <v>0</v>
      </c>
      <c r="Q16" s="99">
        <f>+G16-L16-S16-T16</f>
        <v>5953200</v>
      </c>
      <c r="R16" s="274">
        <f t="shared" si="0"/>
        <v>0</v>
      </c>
      <c r="S16" s="275"/>
      <c r="T16" s="275"/>
      <c r="U16" s="275">
        <v>0</v>
      </c>
      <c r="V16" s="104" t="s">
        <v>282</v>
      </c>
      <c r="W16" s="144">
        <f t="shared" si="1"/>
        <v>0</v>
      </c>
      <c r="X16" s="313">
        <f t="shared" si="2"/>
        <v>0</v>
      </c>
      <c r="Y16" s="159" t="s">
        <v>530</v>
      </c>
      <c r="Z16" s="314">
        <f>298+636+713</f>
        <v>1647</v>
      </c>
      <c r="AA16" s="277" t="s">
        <v>282</v>
      </c>
      <c r="AB16" s="277" t="s">
        <v>282</v>
      </c>
      <c r="AC16" s="277" t="s">
        <v>282</v>
      </c>
      <c r="AD16" s="277" t="s">
        <v>282</v>
      </c>
    </row>
    <row r="17" spans="1:30" s="85" customFormat="1" ht="65.099999999999994" customHeight="1">
      <c r="A17" s="315" t="s">
        <v>139</v>
      </c>
      <c r="B17" s="270">
        <v>43565</v>
      </c>
      <c r="C17" s="316" t="s">
        <v>522</v>
      </c>
      <c r="D17" s="317" t="s">
        <v>363</v>
      </c>
      <c r="E17" s="317" t="s">
        <v>531</v>
      </c>
      <c r="F17" s="272" t="s">
        <v>532</v>
      </c>
      <c r="G17" s="216">
        <f>K17</f>
        <v>20329185</v>
      </c>
      <c r="H17" s="318">
        <v>0</v>
      </c>
      <c r="I17" s="318"/>
      <c r="J17" s="318"/>
      <c r="K17" s="318">
        <v>20329185</v>
      </c>
      <c r="L17" s="216">
        <f t="shared" ref="L17:L18" si="3">+M17+N17+O17+P17</f>
        <v>0</v>
      </c>
      <c r="M17" s="216">
        <v>0</v>
      </c>
      <c r="N17" s="216"/>
      <c r="O17" s="318"/>
      <c r="P17" s="318">
        <v>0</v>
      </c>
      <c r="Q17" s="216">
        <f>+G17-L17-S17-T17</f>
        <v>20329185</v>
      </c>
      <c r="R17" s="319">
        <f t="shared" si="0"/>
        <v>0</v>
      </c>
      <c r="S17" s="320"/>
      <c r="T17" s="320"/>
      <c r="U17" s="320">
        <v>0</v>
      </c>
      <c r="V17" s="104" t="s">
        <v>282</v>
      </c>
      <c r="W17" s="313">
        <f t="shared" si="1"/>
        <v>0</v>
      </c>
      <c r="X17" s="313">
        <f t="shared" si="2"/>
        <v>0</v>
      </c>
      <c r="Y17" s="321" t="s">
        <v>533</v>
      </c>
      <c r="Z17" s="322">
        <f>430+1550+3100+3100+1550+1550+65+5+400</f>
        <v>11750</v>
      </c>
      <c r="AA17" s="323">
        <v>148928</v>
      </c>
      <c r="AB17" s="277" t="s">
        <v>282</v>
      </c>
      <c r="AC17" s="277" t="s">
        <v>282</v>
      </c>
      <c r="AD17" s="277" t="s">
        <v>282</v>
      </c>
    </row>
    <row r="18" spans="1:30" s="85" customFormat="1" ht="65.099999999999994" customHeight="1">
      <c r="A18" s="315" t="s">
        <v>139</v>
      </c>
      <c r="B18" s="270">
        <v>43565</v>
      </c>
      <c r="C18" s="316" t="s">
        <v>522</v>
      </c>
      <c r="D18" s="317" t="s">
        <v>363</v>
      </c>
      <c r="E18" s="317" t="s">
        <v>534</v>
      </c>
      <c r="F18" s="272" t="s">
        <v>535</v>
      </c>
      <c r="G18" s="216">
        <f>K18</f>
        <v>936000</v>
      </c>
      <c r="H18" s="318">
        <v>0</v>
      </c>
      <c r="I18" s="318"/>
      <c r="J18" s="318"/>
      <c r="K18" s="318">
        <v>936000</v>
      </c>
      <c r="L18" s="216">
        <f t="shared" si="3"/>
        <v>0</v>
      </c>
      <c r="M18" s="216">
        <v>0</v>
      </c>
      <c r="N18" s="216"/>
      <c r="O18" s="318"/>
      <c r="P18" s="318">
        <v>0</v>
      </c>
      <c r="Q18" s="216">
        <f>+G18-L18-S18-T18</f>
        <v>936000</v>
      </c>
      <c r="R18" s="319">
        <f t="shared" si="0"/>
        <v>0</v>
      </c>
      <c r="S18" s="320"/>
      <c r="T18" s="320"/>
      <c r="U18" s="320">
        <v>0</v>
      </c>
      <c r="V18" s="104" t="s">
        <v>282</v>
      </c>
      <c r="W18" s="313">
        <f t="shared" si="1"/>
        <v>0</v>
      </c>
      <c r="X18" s="313">
        <f t="shared" si="2"/>
        <v>0</v>
      </c>
      <c r="Y18" s="321" t="s">
        <v>536</v>
      </c>
      <c r="Z18" s="324">
        <v>2</v>
      </c>
      <c r="AA18" s="323" t="s">
        <v>537</v>
      </c>
      <c r="AB18" s="277" t="s">
        <v>282</v>
      </c>
      <c r="AC18" s="277" t="s">
        <v>282</v>
      </c>
      <c r="AD18" s="277" t="s">
        <v>282</v>
      </c>
    </row>
    <row r="19" spans="1:30" s="85" customFormat="1" ht="65.099999999999994" customHeight="1" thickBot="1">
      <c r="A19" s="311" t="s">
        <v>139</v>
      </c>
      <c r="B19" s="270">
        <v>43565</v>
      </c>
      <c r="C19" s="312" t="s">
        <v>522</v>
      </c>
      <c r="D19" s="271" t="s">
        <v>363</v>
      </c>
      <c r="E19" s="271" t="s">
        <v>538</v>
      </c>
      <c r="F19" s="272" t="s">
        <v>539</v>
      </c>
      <c r="G19" s="99">
        <f>H19</f>
        <v>6613703.7999999998</v>
      </c>
      <c r="H19" s="100">
        <v>6613703.7999999998</v>
      </c>
      <c r="I19" s="100"/>
      <c r="J19" s="100"/>
      <c r="K19" s="100">
        <v>0</v>
      </c>
      <c r="L19" s="99">
        <v>0</v>
      </c>
      <c r="M19" s="99">
        <v>2427315.91</v>
      </c>
      <c r="N19" s="99"/>
      <c r="O19" s="100"/>
      <c r="P19" s="100">
        <v>0</v>
      </c>
      <c r="Q19" s="99">
        <f>R19</f>
        <v>4186387.8899999997</v>
      </c>
      <c r="R19" s="325">
        <f t="shared" si="0"/>
        <v>4186387.8899999997</v>
      </c>
      <c r="S19" s="275"/>
      <c r="T19" s="275"/>
      <c r="U19" s="275">
        <v>0</v>
      </c>
      <c r="V19" s="104" t="s">
        <v>282</v>
      </c>
      <c r="W19" s="144">
        <f t="shared" si="1"/>
        <v>0</v>
      </c>
      <c r="X19" s="313">
        <f t="shared" si="2"/>
        <v>0</v>
      </c>
      <c r="Y19" s="159" t="s">
        <v>540</v>
      </c>
      <c r="Z19" s="104">
        <v>1</v>
      </c>
      <c r="AA19" s="277" t="s">
        <v>541</v>
      </c>
      <c r="AB19" s="277" t="s">
        <v>282</v>
      </c>
      <c r="AC19" s="277" t="s">
        <v>282</v>
      </c>
      <c r="AD19" s="277" t="s">
        <v>282</v>
      </c>
    </row>
    <row r="20" spans="1:30" s="231" customFormat="1" ht="14.25" thickTop="1" thickBot="1">
      <c r="A20" s="258"/>
      <c r="B20" s="258"/>
      <c r="C20" s="258"/>
      <c r="D20" s="258"/>
      <c r="E20" s="258"/>
      <c r="F20" s="235" t="s">
        <v>37</v>
      </c>
      <c r="G20" s="259">
        <f>SUM(G14:G19)</f>
        <v>39682222.799999997</v>
      </c>
      <c r="H20" s="259">
        <f>SUM(H19:H19)</f>
        <v>6613703.7999999998</v>
      </c>
      <c r="I20" s="259" t="e">
        <f>SUM(#REF!)</f>
        <v>#REF!</v>
      </c>
      <c r="J20" s="259" t="e">
        <f>SUM(#REF!)</f>
        <v>#REF!</v>
      </c>
      <c r="K20" s="259">
        <f>SUM(K14:K19)</f>
        <v>33068519</v>
      </c>
      <c r="L20" s="259">
        <f>SUM(L14:L19)</f>
        <v>4213117</v>
      </c>
      <c r="M20" s="259">
        <f>SUM(M14:M19)</f>
        <v>2427315.91</v>
      </c>
      <c r="N20" s="259" t="e">
        <f>SUM(#REF!)</f>
        <v>#REF!</v>
      </c>
      <c r="O20" s="259" t="e">
        <f>SUM(#REF!)</f>
        <v>#REF!</v>
      </c>
      <c r="P20" s="259">
        <f>SUM(P14:P19)</f>
        <v>0</v>
      </c>
      <c r="Q20" s="259">
        <f>SUM(Q14:Q19)</f>
        <v>33041789.890000001</v>
      </c>
      <c r="R20" s="259">
        <f>SUM(R14:T19)</f>
        <v>4186387.8899999997</v>
      </c>
      <c r="S20" s="259" t="e">
        <f>SUM(#REF!)</f>
        <v>#REF!</v>
      </c>
      <c r="T20" s="259" t="e">
        <f>SUM(#REF!)</f>
        <v>#REF!</v>
      </c>
      <c r="U20" s="259">
        <f>SUM(U14:U19)</f>
        <v>0</v>
      </c>
      <c r="V20" s="265"/>
      <c r="W20" s="296"/>
      <c r="X20" s="263"/>
      <c r="Y20" s="261"/>
      <c r="Z20" s="262"/>
      <c r="AA20" s="262"/>
      <c r="AB20" s="263"/>
      <c r="AC20" s="256"/>
      <c r="AD20" s="256"/>
    </row>
    <row r="21" spans="1:30" ht="15.75" thickTop="1">
      <c r="A21" s="264"/>
      <c r="B21" s="256"/>
      <c r="C21" s="256"/>
      <c r="D21" s="256"/>
      <c r="E21" s="256"/>
      <c r="F21" s="256"/>
      <c r="G21" s="260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256"/>
      <c r="S21" s="256"/>
      <c r="T21" s="256"/>
      <c r="U21" s="256"/>
      <c r="V21" s="265"/>
      <c r="W21" s="263"/>
      <c r="X21" s="263"/>
      <c r="Y21" s="261"/>
      <c r="Z21" s="262"/>
      <c r="AA21" s="262"/>
      <c r="AB21" s="263"/>
      <c r="AC21" s="256"/>
      <c r="AD21" s="256"/>
    </row>
    <row r="22" spans="1:30">
      <c r="A22" s="240" t="s">
        <v>38</v>
      </c>
      <c r="B22" s="256"/>
      <c r="C22" s="256"/>
      <c r="D22" s="256"/>
      <c r="E22" s="256"/>
      <c r="F22" s="256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6"/>
      <c r="S22" s="266"/>
      <c r="T22" s="266"/>
      <c r="U22" s="266"/>
      <c r="V22" s="265"/>
      <c r="W22" s="263"/>
      <c r="X22" s="263"/>
      <c r="Y22" s="261"/>
      <c r="Z22" s="262"/>
      <c r="AA22" s="262"/>
      <c r="AB22" s="263"/>
      <c r="AC22" s="256"/>
      <c r="AD22" s="256"/>
    </row>
    <row r="24" spans="1:30">
      <c r="L24" s="2"/>
    </row>
    <row r="25" spans="1:30">
      <c r="L25" s="2"/>
    </row>
    <row r="26" spans="1:30">
      <c r="L26" s="13"/>
    </row>
    <row r="27" spans="1:30">
      <c r="L27" s="13"/>
    </row>
  </sheetData>
  <mergeCells count="15">
    <mergeCell ref="A2:B3"/>
    <mergeCell ref="C2:AD2"/>
    <mergeCell ref="C3:AD3"/>
    <mergeCell ref="A6:B6"/>
    <mergeCell ref="A7:B7"/>
    <mergeCell ref="A8:B8"/>
    <mergeCell ref="A9:B9"/>
    <mergeCell ref="G12:K12"/>
    <mergeCell ref="Y13:Z13"/>
    <mergeCell ref="C6:E6"/>
    <mergeCell ref="C7:E7"/>
    <mergeCell ref="C8:E8"/>
    <mergeCell ref="C9:E9"/>
    <mergeCell ref="L12:P12"/>
    <mergeCell ref="Q12:U12"/>
  </mergeCells>
  <printOptions horizontalCentered="1"/>
  <pageMargins left="0.31496062992125984" right="0.31496062992125984" top="0.74803149606299213" bottom="0.74803149606299213" header="0.31496062992125984" footer="0.31496062992125984"/>
  <pageSetup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Y19" sqref="Y19"/>
    </sheetView>
  </sheetViews>
  <sheetFormatPr baseColWidth="10" defaultRowHeight="15"/>
  <cols>
    <col min="1" max="1" width="9.42578125" customWidth="1"/>
    <col min="4" max="4" width="0" hidden="1" customWidth="1"/>
    <col min="5" max="5" width="7" customWidth="1"/>
    <col min="6" max="6" width="29.28515625" customWidth="1"/>
    <col min="7" max="7" width="14.85546875" customWidth="1"/>
    <col min="8" max="8" width="11.42578125" hidden="1" customWidth="1"/>
    <col min="9" max="9" width="14.42578125" bestFit="1" customWidth="1"/>
    <col min="10" max="10" width="10.7109375" hidden="1" customWidth="1"/>
    <col min="11" max="11" width="13.140625" customWidth="1"/>
    <col min="12" max="12" width="11.42578125" hidden="1" customWidth="1"/>
    <col min="13" max="13" width="12.85546875" bestFit="1" customWidth="1"/>
    <col min="14" max="14" width="10.42578125" customWidth="1"/>
    <col min="15" max="15" width="9.28515625" customWidth="1"/>
    <col min="16" max="16" width="7" bestFit="1" customWidth="1"/>
    <col min="17" max="17" width="11.42578125" customWidth="1"/>
    <col min="20" max="20" width="9.7109375" bestFit="1" customWidth="1"/>
    <col min="21" max="21" width="8.85546875" customWidth="1"/>
  </cols>
  <sheetData>
    <row r="1" spans="1:21">
      <c r="A1" s="418"/>
      <c r="B1" s="418"/>
      <c r="C1" s="448" t="s">
        <v>376</v>
      </c>
      <c r="D1" s="448"/>
      <c r="E1" s="448"/>
      <c r="F1" s="448"/>
      <c r="G1" s="448"/>
      <c r="H1" s="448"/>
      <c r="I1" s="448"/>
      <c r="J1" s="448"/>
      <c r="K1" s="448"/>
      <c r="L1" s="448"/>
      <c r="M1" s="448"/>
      <c r="N1" s="448"/>
      <c r="O1" s="448"/>
      <c r="P1" s="448"/>
      <c r="Q1" s="448"/>
      <c r="R1" s="448"/>
      <c r="S1" s="448"/>
      <c r="T1" s="448"/>
      <c r="U1" s="448"/>
    </row>
    <row r="2" spans="1:21" ht="33" customHeight="1">
      <c r="A2" s="418"/>
      <c r="B2" s="418"/>
      <c r="C2" s="448"/>
      <c r="D2" s="448"/>
      <c r="E2" s="448"/>
      <c r="F2" s="448"/>
      <c r="G2" s="448"/>
      <c r="H2" s="448"/>
      <c r="I2" s="448"/>
      <c r="J2" s="448"/>
      <c r="K2" s="448"/>
      <c r="L2" s="448"/>
      <c r="M2" s="448"/>
      <c r="N2" s="448"/>
      <c r="O2" s="448"/>
      <c r="P2" s="448"/>
      <c r="Q2" s="448"/>
      <c r="R2" s="448"/>
      <c r="S2" s="448"/>
      <c r="T2" s="448"/>
      <c r="U2" s="448"/>
    </row>
    <row r="3" spans="1:21" ht="18.75">
      <c r="A3" s="418"/>
      <c r="B3" s="418"/>
      <c r="C3" s="449" t="s">
        <v>641</v>
      </c>
      <c r="D3" s="449"/>
      <c r="E3" s="449"/>
      <c r="F3" s="449"/>
      <c r="G3" s="449"/>
      <c r="H3" s="449"/>
      <c r="I3" s="449"/>
      <c r="J3" s="449"/>
      <c r="K3" s="449"/>
      <c r="L3" s="449"/>
      <c r="M3" s="449"/>
      <c r="N3" s="449"/>
      <c r="O3" s="449"/>
      <c r="P3" s="449"/>
      <c r="Q3" s="449"/>
      <c r="R3" s="449"/>
      <c r="S3" s="449"/>
      <c r="T3" s="449"/>
      <c r="U3" s="449"/>
    </row>
    <row r="4" spans="1:21" ht="18.75">
      <c r="A4" s="418"/>
      <c r="B4" s="418"/>
      <c r="C4" s="450" t="s">
        <v>648</v>
      </c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450"/>
      <c r="P4" s="450"/>
      <c r="Q4" s="450"/>
      <c r="R4" s="450"/>
      <c r="S4" s="450"/>
      <c r="T4" s="450"/>
      <c r="U4" s="450"/>
    </row>
    <row r="5" spans="1:21" ht="24.75" customHeight="1" thickBot="1"/>
    <row r="6" spans="1:21">
      <c r="A6" s="451" t="s">
        <v>39</v>
      </c>
      <c r="B6" s="452"/>
      <c r="C6" s="174">
        <v>360000</v>
      </c>
      <c r="D6" s="77"/>
      <c r="E6" s="175"/>
      <c r="F6" s="156"/>
      <c r="K6" s="11"/>
      <c r="M6" s="11"/>
      <c r="N6" s="11"/>
    </row>
    <row r="7" spans="1:21">
      <c r="A7" s="444" t="s">
        <v>379</v>
      </c>
      <c r="B7" s="445"/>
      <c r="C7" s="176">
        <v>360000</v>
      </c>
      <c r="D7" s="77"/>
      <c r="E7" s="175"/>
      <c r="F7" s="156"/>
      <c r="G7" s="328"/>
      <c r="H7" s="328"/>
      <c r="I7" s="328"/>
      <c r="J7" s="328"/>
      <c r="K7" s="328"/>
      <c r="L7" s="328"/>
      <c r="M7" s="328"/>
      <c r="N7" s="328"/>
      <c r="O7" s="328"/>
      <c r="P7" s="328"/>
    </row>
    <row r="8" spans="1:21">
      <c r="A8" s="444" t="s">
        <v>5</v>
      </c>
      <c r="B8" s="445"/>
      <c r="C8" s="176">
        <f>I16</f>
        <v>0</v>
      </c>
      <c r="D8" s="77"/>
      <c r="E8" s="175"/>
      <c r="F8" s="156"/>
      <c r="G8" s="328"/>
      <c r="H8" s="328"/>
      <c r="I8" s="328"/>
      <c r="J8" s="328"/>
      <c r="K8" s="328"/>
      <c r="L8" s="328"/>
      <c r="M8" s="328"/>
      <c r="N8" s="328"/>
      <c r="O8" s="328"/>
      <c r="P8" s="328"/>
    </row>
    <row r="9" spans="1:21" ht="15.75" thickBot="1">
      <c r="A9" s="446" t="s">
        <v>12</v>
      </c>
      <c r="B9" s="447"/>
      <c r="C9" s="177">
        <f>C7-C8</f>
        <v>360000</v>
      </c>
      <c r="M9" s="178"/>
      <c r="P9" s="11"/>
      <c r="T9" s="78"/>
      <c r="U9" s="179"/>
    </row>
    <row r="10" spans="1:21">
      <c r="A10" s="180"/>
      <c r="B10" s="180"/>
      <c r="M10" s="178"/>
      <c r="P10" s="11"/>
      <c r="T10" s="78"/>
      <c r="U10" s="179"/>
    </row>
    <row r="11" spans="1:21" ht="19.5" thickBot="1">
      <c r="M11" s="178"/>
      <c r="P11" s="11"/>
      <c r="T11" s="78"/>
      <c r="U11" s="329" t="s">
        <v>681</v>
      </c>
    </row>
    <row r="12" spans="1:21" ht="16.5" customHeight="1" thickTop="1" thickBot="1">
      <c r="A12" s="181"/>
      <c r="B12" s="181"/>
      <c r="C12" s="181"/>
      <c r="D12" s="181"/>
      <c r="E12" s="181"/>
      <c r="F12" s="181"/>
      <c r="G12" s="182" t="s">
        <v>13</v>
      </c>
      <c r="H12" s="183"/>
      <c r="I12" s="182" t="s">
        <v>14</v>
      </c>
      <c r="J12" s="182"/>
      <c r="K12" s="182" t="s">
        <v>15</v>
      </c>
      <c r="L12" s="182"/>
      <c r="M12" s="189"/>
      <c r="N12" s="190"/>
      <c r="O12" s="190"/>
      <c r="P12" s="190"/>
      <c r="Q12" s="190"/>
      <c r="R12" s="190"/>
      <c r="S12" s="191"/>
      <c r="T12" s="190"/>
      <c r="U12" s="190"/>
    </row>
    <row r="13" spans="1:21" ht="24" thickTop="1" thickBot="1">
      <c r="A13" s="192" t="s">
        <v>16</v>
      </c>
      <c r="B13" s="193" t="s">
        <v>17</v>
      </c>
      <c r="C13" s="193" t="s">
        <v>18</v>
      </c>
      <c r="D13" s="193" t="s">
        <v>642</v>
      </c>
      <c r="E13" s="193" t="s">
        <v>77</v>
      </c>
      <c r="F13" s="193" t="s">
        <v>21</v>
      </c>
      <c r="G13" s="194" t="s">
        <v>22</v>
      </c>
      <c r="H13" s="194" t="s">
        <v>382</v>
      </c>
      <c r="I13" s="194" t="s">
        <v>22</v>
      </c>
      <c r="J13" s="194" t="s">
        <v>382</v>
      </c>
      <c r="K13" s="194" t="s">
        <v>22</v>
      </c>
      <c r="L13" s="193" t="s">
        <v>382</v>
      </c>
      <c r="M13" s="193" t="s">
        <v>24</v>
      </c>
      <c r="N13" s="193" t="s">
        <v>384</v>
      </c>
      <c r="O13" s="193" t="s">
        <v>385</v>
      </c>
      <c r="P13" s="453" t="s">
        <v>27</v>
      </c>
      <c r="Q13" s="454"/>
      <c r="R13" s="193" t="s">
        <v>28</v>
      </c>
      <c r="S13" s="193" t="s">
        <v>386</v>
      </c>
      <c r="T13" s="193" t="s">
        <v>30</v>
      </c>
      <c r="U13" s="195" t="s">
        <v>31</v>
      </c>
    </row>
    <row r="14" spans="1:21" ht="69" customHeight="1">
      <c r="A14" s="196" t="s">
        <v>250</v>
      </c>
      <c r="B14" s="197">
        <v>43606</v>
      </c>
      <c r="C14" s="198" t="s">
        <v>643</v>
      </c>
      <c r="D14" s="330" t="s">
        <v>644</v>
      </c>
      <c r="E14" s="199" t="s">
        <v>645</v>
      </c>
      <c r="F14" s="200" t="s">
        <v>646</v>
      </c>
      <c r="G14" s="201">
        <f>H14</f>
        <v>360000</v>
      </c>
      <c r="H14" s="202">
        <v>360000</v>
      </c>
      <c r="I14" s="201">
        <f t="shared" ref="I14" si="0">J14</f>
        <v>0</v>
      </c>
      <c r="J14" s="201">
        <v>0</v>
      </c>
      <c r="K14" s="201">
        <f>G14-I14</f>
        <v>360000</v>
      </c>
      <c r="L14" s="203">
        <v>0</v>
      </c>
      <c r="M14" s="206" t="s">
        <v>391</v>
      </c>
      <c r="N14" s="244">
        <f t="shared" ref="N14" si="1">I14/G14</f>
        <v>0</v>
      </c>
      <c r="O14" s="244">
        <v>0</v>
      </c>
      <c r="P14" s="208" t="s">
        <v>32</v>
      </c>
      <c r="Q14" s="209">
        <v>1</v>
      </c>
      <c r="R14" s="210" t="s">
        <v>647</v>
      </c>
      <c r="S14" s="198"/>
      <c r="T14" s="198"/>
      <c r="U14" s="198"/>
    </row>
    <row r="15" spans="1:21" ht="15.75" thickBot="1">
      <c r="A15" s="443"/>
      <c r="B15" s="443"/>
      <c r="C15" s="443"/>
      <c r="D15" s="443"/>
      <c r="E15" s="443"/>
      <c r="F15" s="443"/>
      <c r="G15" s="218"/>
      <c r="H15" s="219"/>
      <c r="I15" s="220"/>
      <c r="J15" s="221"/>
      <c r="K15" s="222"/>
      <c r="L15" s="223"/>
      <c r="M15" s="225"/>
      <c r="N15" s="226"/>
      <c r="O15" s="226"/>
      <c r="P15" s="227"/>
      <c r="Q15" s="228"/>
      <c r="R15" s="229"/>
      <c r="S15" s="230"/>
      <c r="T15" s="230"/>
      <c r="U15" s="230"/>
    </row>
    <row r="16" spans="1:21" ht="16.5" thickTop="1" thickBot="1">
      <c r="A16" s="232"/>
      <c r="B16" s="233"/>
      <c r="C16" s="230"/>
      <c r="D16" s="234"/>
      <c r="E16" s="234"/>
      <c r="F16" s="235" t="s">
        <v>37</v>
      </c>
      <c r="G16" s="236">
        <f>SUM(G14:G15)</f>
        <v>360000</v>
      </c>
      <c r="H16" s="237">
        <f>SUM(H14:H14)</f>
        <v>360000</v>
      </c>
      <c r="I16" s="237">
        <f>SUM(I14:I15)</f>
        <v>0</v>
      </c>
      <c r="J16" s="237">
        <f>SUM(J14:J15)</f>
        <v>0</v>
      </c>
      <c r="K16" s="236">
        <f>SUM(K14:K15)</f>
        <v>360000</v>
      </c>
      <c r="L16" s="237">
        <f>SUM(L14:L15)</f>
        <v>0</v>
      </c>
      <c r="M16" s="226"/>
      <c r="N16" s="226"/>
      <c r="O16" s="238"/>
      <c r="P16" s="239"/>
      <c r="Q16" s="228"/>
      <c r="R16" s="229"/>
      <c r="S16" s="230"/>
      <c r="T16" s="230"/>
      <c r="U16" s="230"/>
    </row>
    <row r="17" spans="1:21" ht="15.75" thickTop="1">
      <c r="A17" s="240" t="s">
        <v>38</v>
      </c>
      <c r="B17" s="231"/>
      <c r="C17" s="231"/>
      <c r="D17" s="231"/>
      <c r="E17" s="231"/>
      <c r="F17" s="231"/>
      <c r="G17" s="231"/>
      <c r="H17" s="231"/>
      <c r="I17" s="241"/>
      <c r="J17" s="221"/>
      <c r="K17" s="231"/>
      <c r="L17" s="231"/>
      <c r="M17" s="231"/>
      <c r="N17" s="231"/>
      <c r="O17" s="231"/>
      <c r="P17" s="242"/>
      <c r="Q17" s="243"/>
      <c r="R17" s="231"/>
      <c r="S17" s="231"/>
      <c r="T17" s="231"/>
      <c r="U17" s="231"/>
    </row>
  </sheetData>
  <mergeCells count="10">
    <mergeCell ref="A8:B8"/>
    <mergeCell ref="A9:B9"/>
    <mergeCell ref="P13:Q13"/>
    <mergeCell ref="A15:F15"/>
    <mergeCell ref="A1:B4"/>
    <mergeCell ref="C1:U2"/>
    <mergeCell ref="C3:U3"/>
    <mergeCell ref="C4:U4"/>
    <mergeCell ref="A6:B6"/>
    <mergeCell ref="A7:B7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RESUMEN</vt:lpstr>
      <vt:lpstr>PDM</vt:lpstr>
      <vt:lpstr>FORTAMUNDF</vt:lpstr>
      <vt:lpstr>FISMDF</vt:lpstr>
      <vt:lpstr>FORTASEG</vt:lpstr>
      <vt:lpstr>FOREMOBA</vt:lpstr>
      <vt:lpstr>PDM!Área_de_impresión</vt:lpstr>
      <vt:lpstr>RESUMEN!Área_de_impresión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de Lourdes Ortiz Diaz</cp:lastModifiedBy>
  <cp:lastPrinted>2019-07-22T18:08:16Z</cp:lastPrinted>
  <dcterms:created xsi:type="dcterms:W3CDTF">2018-01-26T00:48:08Z</dcterms:created>
  <dcterms:modified xsi:type="dcterms:W3CDTF">2019-07-22T18:09:51Z</dcterms:modified>
</cp:coreProperties>
</file>